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sirli_jurjev_sm_ee/Documents/Desktop/"/>
    </mc:Choice>
  </mc:AlternateContent>
  <xr:revisionPtr revIDLastSave="4" documentId="8_{19882177-2C73-4635-AA05-1970470E2879}" xr6:coauthVersionLast="47" xr6:coauthVersionMax="47" xr10:uidLastSave="{DA1596FA-CE78-490D-959F-4DEDF2CB2630}"/>
  <bookViews>
    <workbookView xWindow="-120" yWindow="-120" windowWidth="29040" windowHeight="157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aruanne!$A$3:$M$117</definedName>
    <definedName name="_xlnm._FilterDatabase" localSheetId="1" hidden="1">LISA!$A$5:$I$1242</definedName>
    <definedName name="_xlnm._FilterDatabase" localSheetId="2" hidden="1">vordlus!$A$5:$J$21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F50" i="13"/>
  <c r="E1104" i="13"/>
  <c r="E711" i="13"/>
  <c r="E783" i="13"/>
  <c r="E830" i="13"/>
  <c r="F106" i="1"/>
  <c r="E106" i="1" l="1"/>
  <c r="G818" i="13" l="1"/>
  <c r="F824" i="13"/>
  <c r="E824" i="13"/>
  <c r="D824" i="13"/>
  <c r="F828" i="13"/>
  <c r="E828" i="13"/>
  <c r="D828" i="13"/>
  <c r="F837" i="13"/>
  <c r="E837" i="13"/>
  <c r="E840" i="13"/>
  <c r="G840" i="13" s="1"/>
  <c r="F33" i="13" l="1"/>
  <c r="F37" i="13"/>
  <c r="F28" i="13" s="1"/>
  <c r="E37" i="13"/>
  <c r="E28" i="13" s="1"/>
  <c r="D37" i="13"/>
  <c r="D28" i="13" s="1"/>
  <c r="G38" i="13"/>
  <c r="E340" i="13"/>
  <c r="G28" i="13" l="1"/>
  <c r="G37" i="13"/>
  <c r="F1101" i="13"/>
  <c r="F855" i="13"/>
  <c r="E855" i="13"/>
  <c r="F850" i="13"/>
  <c r="D850" i="13"/>
  <c r="D855" i="13"/>
  <c r="E870" i="13"/>
  <c r="G870" i="13" s="1"/>
  <c r="F852" i="13"/>
  <c r="F853" i="13"/>
  <c r="F854" i="13"/>
  <c r="D854" i="13"/>
  <c r="F709" i="13"/>
  <c r="F692" i="13"/>
  <c r="F316" i="13"/>
  <c r="D316" i="13"/>
  <c r="F233" i="13"/>
  <c r="F234" i="13"/>
  <c r="D234" i="13"/>
  <c r="F236" i="13"/>
  <c r="E236" i="13"/>
  <c r="E850" i="13" l="1"/>
  <c r="G236" i="13"/>
  <c r="D236" i="13"/>
  <c r="F213" i="13"/>
  <c r="D213" i="13"/>
  <c r="F64" i="13"/>
  <c r="D64" i="13"/>
  <c r="E696" i="13"/>
  <c r="E695" i="13"/>
  <c r="E1128" i="13"/>
  <c r="E1127" i="13"/>
  <c r="E896" i="13"/>
  <c r="E895" i="13"/>
  <c r="E755" i="13"/>
  <c r="E754" i="13"/>
  <c r="E602" i="13"/>
  <c r="E541" i="13"/>
  <c r="E540" i="13"/>
  <c r="E444" i="13"/>
  <c r="E443" i="13"/>
  <c r="E187" i="13"/>
  <c r="E186" i="13"/>
  <c r="E111" i="13"/>
  <c r="E110" i="13"/>
  <c r="C11" i="4" l="1"/>
  <c r="F1221" i="13"/>
  <c r="F1104" i="13"/>
  <c r="E105" i="1" l="1"/>
  <c r="C6" i="2"/>
  <c r="E597" i="13" l="1"/>
  <c r="E1238" i="13" l="1"/>
  <c r="F1228" i="13"/>
  <c r="D1228" i="13"/>
  <c r="G1237" i="13"/>
  <c r="F1236" i="13"/>
  <c r="E1236" i="13"/>
  <c r="D1236" i="13"/>
  <c r="F1230" i="13"/>
  <c r="D1230" i="13"/>
  <c r="G1235" i="13"/>
  <c r="F1234" i="13"/>
  <c r="E1234" i="13"/>
  <c r="D1234" i="13"/>
  <c r="E1233" i="13"/>
  <c r="E1232" i="13"/>
  <c r="E1228" i="13" s="1"/>
  <c r="E1223" i="13"/>
  <c r="E1219" i="13"/>
  <c r="G1225" i="13"/>
  <c r="E1224" i="13"/>
  <c r="F1211" i="13"/>
  <c r="D1211" i="13"/>
  <c r="F1222" i="13"/>
  <c r="D1222" i="13"/>
  <c r="F1209" i="13"/>
  <c r="D1209" i="13"/>
  <c r="F1208" i="13"/>
  <c r="D1208" i="13"/>
  <c r="G1220" i="13"/>
  <c r="G1221" i="13"/>
  <c r="F1219" i="13"/>
  <c r="F1204" i="13" s="1"/>
  <c r="D1219" i="13"/>
  <c r="G1216" i="13"/>
  <c r="G1218" i="13"/>
  <c r="F1217" i="13"/>
  <c r="E1217" i="13"/>
  <c r="D1217" i="13"/>
  <c r="E1215" i="13"/>
  <c r="E1214" i="13"/>
  <c r="E1213" i="13"/>
  <c r="F1212" i="13"/>
  <c r="D1212" i="13"/>
  <c r="E1200" i="13"/>
  <c r="E1192" i="13" s="1"/>
  <c r="E1195" i="13"/>
  <c r="E1194" i="13"/>
  <c r="E1190" i="13" s="1"/>
  <c r="F1190" i="13"/>
  <c r="D1190" i="13"/>
  <c r="F1192" i="13"/>
  <c r="D1192" i="13"/>
  <c r="F1198" i="13"/>
  <c r="E1198" i="13"/>
  <c r="D1198" i="13"/>
  <c r="G1197" i="13"/>
  <c r="G1199" i="13"/>
  <c r="F1196" i="13"/>
  <c r="E1196" i="13"/>
  <c r="D1196" i="13"/>
  <c r="F1178" i="13"/>
  <c r="F1177" i="13"/>
  <c r="G1187" i="13"/>
  <c r="G1188" i="13"/>
  <c r="F1186" i="13"/>
  <c r="E1186" i="13"/>
  <c r="D1186" i="13"/>
  <c r="E1182" i="13"/>
  <c r="E1178" i="13" s="1"/>
  <c r="E1181" i="13"/>
  <c r="E1177" i="13" s="1"/>
  <c r="F1161" i="13"/>
  <c r="D1161" i="13"/>
  <c r="E1174" i="13"/>
  <c r="E1173" i="13"/>
  <c r="E1170" i="13"/>
  <c r="E1169" i="13"/>
  <c r="G1167" i="13"/>
  <c r="D1166" i="13"/>
  <c r="E1164" i="13"/>
  <c r="E1165" i="13"/>
  <c r="E1149" i="13"/>
  <c r="E1148" i="13"/>
  <c r="E1146" i="13"/>
  <c r="E1145" i="13"/>
  <c r="E1143" i="13"/>
  <c r="E1142" i="13"/>
  <c r="F1124" i="13"/>
  <c r="E1124" i="13"/>
  <c r="D1124" i="13"/>
  <c r="F1121" i="13"/>
  <c r="G1136" i="13"/>
  <c r="F1135" i="13"/>
  <c r="E1135" i="13"/>
  <c r="D1135" i="13"/>
  <c r="G1134" i="13"/>
  <c r="F1123" i="13"/>
  <c r="D1123" i="13"/>
  <c r="F1131" i="13"/>
  <c r="D1131" i="13"/>
  <c r="E1133" i="13"/>
  <c r="E1132" i="13"/>
  <c r="G1130" i="13"/>
  <c r="E1123" i="13"/>
  <c r="E1126" i="13"/>
  <c r="F1129" i="13"/>
  <c r="E1129" i="13"/>
  <c r="E1116" i="13" s="1"/>
  <c r="D1129" i="13"/>
  <c r="D1116" i="13" s="1"/>
  <c r="E1112" i="13"/>
  <c r="E1111" i="13"/>
  <c r="E1109" i="13"/>
  <c r="E1108" i="13"/>
  <c r="G1106" i="13"/>
  <c r="F1105" i="13"/>
  <c r="E1105" i="13"/>
  <c r="D1105" i="13"/>
  <c r="E1103" i="13"/>
  <c r="E1090" i="13"/>
  <c r="E1089" i="13"/>
  <c r="E1088" i="13"/>
  <c r="E1086" i="13"/>
  <c r="F1203" i="13" l="1"/>
  <c r="E1204" i="13"/>
  <c r="G1204" i="13" s="1"/>
  <c r="D1204" i="13"/>
  <c r="E1222" i="13"/>
  <c r="G1236" i="13"/>
  <c r="G1217" i="13"/>
  <c r="D1203" i="13"/>
  <c r="G1196" i="13"/>
  <c r="E1203" i="13"/>
  <c r="G1234" i="13"/>
  <c r="G1219" i="13"/>
  <c r="G1186" i="13"/>
  <c r="E1212" i="13"/>
  <c r="G1198" i="13"/>
  <c r="G1124" i="13"/>
  <c r="E1121" i="13"/>
  <c r="G1135" i="13"/>
  <c r="G1129" i="13"/>
  <c r="E1131" i="13"/>
  <c r="G1105" i="13"/>
  <c r="F1116" i="13"/>
  <c r="G1116" i="13"/>
  <c r="G1203" i="13" l="1"/>
  <c r="E1051" i="13"/>
  <c r="E1072" i="13"/>
  <c r="G1072" i="13" s="1"/>
  <c r="E1067" i="13"/>
  <c r="E1066" i="13"/>
  <c r="E1062" i="13" s="1"/>
  <c r="F1062" i="13"/>
  <c r="D1062" i="13"/>
  <c r="G1071" i="13"/>
  <c r="F1070" i="13"/>
  <c r="E1070" i="13"/>
  <c r="D1070" i="13"/>
  <c r="F1064" i="13"/>
  <c r="D1064" i="13"/>
  <c r="G1069" i="13"/>
  <c r="F1068" i="13"/>
  <c r="E1068" i="13"/>
  <c r="D1068" i="13"/>
  <c r="F1045" i="13"/>
  <c r="D1045" i="13"/>
  <c r="E1058" i="13"/>
  <c r="E1057" i="13"/>
  <c r="G1059" i="13"/>
  <c r="E1053" i="13"/>
  <c r="E1049" i="13"/>
  <c r="E1048" i="13"/>
  <c r="E1047" i="13"/>
  <c r="F1046" i="13"/>
  <c r="D1046" i="13"/>
  <c r="G1050" i="13"/>
  <c r="F1056" i="13"/>
  <c r="D1056" i="13"/>
  <c r="F1043" i="13"/>
  <c r="D1043" i="13"/>
  <c r="F1042" i="13"/>
  <c r="D1042" i="13"/>
  <c r="G1054" i="13"/>
  <c r="G1055" i="13"/>
  <c r="F1053" i="13"/>
  <c r="D1053" i="13"/>
  <c r="G1052" i="13"/>
  <c r="F1051" i="13"/>
  <c r="D1051" i="13"/>
  <c r="F1033" i="13"/>
  <c r="D1033" i="13"/>
  <c r="F1031" i="13"/>
  <c r="D1031" i="13"/>
  <c r="E1037" i="13"/>
  <c r="E1033" i="13" s="1"/>
  <c r="E1036" i="13"/>
  <c r="E1035" i="13"/>
  <c r="E1031" i="13" s="1"/>
  <c r="G1039" i="13"/>
  <c r="G1040" i="13"/>
  <c r="F1038" i="13"/>
  <c r="E1038" i="13"/>
  <c r="D1038" i="13"/>
  <c r="F1027" i="13" l="1"/>
  <c r="F1026" i="13"/>
  <c r="E1027" i="13"/>
  <c r="E1026" i="13"/>
  <c r="D1027" i="13"/>
  <c r="E1064" i="13"/>
  <c r="G1070" i="13"/>
  <c r="G1068" i="13"/>
  <c r="D1026" i="13"/>
  <c r="G1053" i="13"/>
  <c r="E1046" i="13"/>
  <c r="G1051" i="13"/>
  <c r="G1038" i="13"/>
  <c r="G1026" i="13" l="1"/>
  <c r="G1027" i="13"/>
  <c r="F1015" i="13"/>
  <c r="D1015" i="13"/>
  <c r="F1013" i="13"/>
  <c r="D1013" i="13"/>
  <c r="E1018" i="13"/>
  <c r="E1017" i="13"/>
  <c r="E1013" i="13" s="1"/>
  <c r="F1021" i="13"/>
  <c r="E1021" i="13"/>
  <c r="D1021" i="13"/>
  <c r="G1022" i="13"/>
  <c r="F1019" i="13"/>
  <c r="E1019" i="13"/>
  <c r="E972" i="13" s="1"/>
  <c r="D1019" i="13"/>
  <c r="D972" i="13" s="1"/>
  <c r="G1020" i="13"/>
  <c r="E1023" i="13"/>
  <c r="E1015" i="13" s="1"/>
  <c r="F995" i="13"/>
  <c r="D995" i="13"/>
  <c r="F994" i="13"/>
  <c r="D994" i="13"/>
  <c r="G1006" i="13"/>
  <c r="G1007" i="13"/>
  <c r="F1005" i="13"/>
  <c r="E1005" i="13"/>
  <c r="D1005" i="13"/>
  <c r="G1009" i="13"/>
  <c r="G1010" i="13"/>
  <c r="F1008" i="13"/>
  <c r="E1008" i="13"/>
  <c r="D1008" i="13"/>
  <c r="G1004" i="13"/>
  <c r="E1003" i="13"/>
  <c r="G1002" i="13"/>
  <c r="E1001" i="13"/>
  <c r="E995" i="13" s="1"/>
  <c r="E1000" i="13"/>
  <c r="E994" i="13" s="1"/>
  <c r="F998" i="13"/>
  <c r="D998" i="13"/>
  <c r="F996" i="13"/>
  <c r="E996" i="13"/>
  <c r="D996" i="13"/>
  <c r="F999" i="13"/>
  <c r="D999" i="13"/>
  <c r="D980" i="13"/>
  <c r="F980" i="13"/>
  <c r="E992" i="13"/>
  <c r="E990" i="13" s="1"/>
  <c r="G991" i="13"/>
  <c r="F979" i="13"/>
  <c r="F990" i="13"/>
  <c r="D990" i="13"/>
  <c r="F981" i="13"/>
  <c r="E981" i="13"/>
  <c r="D981" i="13"/>
  <c r="G989" i="13"/>
  <c r="G988" i="13"/>
  <c r="F984" i="13"/>
  <c r="E986" i="13"/>
  <c r="E985" i="13"/>
  <c r="E983" i="13"/>
  <c r="E969" i="13"/>
  <c r="E968" i="13"/>
  <c r="E967" i="13"/>
  <c r="F950" i="13"/>
  <c r="E954" i="13"/>
  <c r="E950" i="13" s="1"/>
  <c r="D950" i="13"/>
  <c r="F949" i="13"/>
  <c r="D949" i="13"/>
  <c r="F941" i="13"/>
  <c r="D941" i="13"/>
  <c r="G961" i="13"/>
  <c r="G959" i="13"/>
  <c r="G960" i="13"/>
  <c r="F958" i="13"/>
  <c r="F940" i="13" s="1"/>
  <c r="E958" i="13"/>
  <c r="E940" i="13" s="1"/>
  <c r="D958" i="13"/>
  <c r="D940" i="13" s="1"/>
  <c r="E953" i="13"/>
  <c r="E949" i="13" s="1"/>
  <c r="E947" i="13"/>
  <c r="E946" i="13"/>
  <c r="E943" i="13" s="1"/>
  <c r="G936" i="13"/>
  <c r="G935" i="13"/>
  <c r="E934" i="13"/>
  <c r="E926" i="13" s="1"/>
  <c r="F926" i="13"/>
  <c r="D926" i="13"/>
  <c r="G931" i="13"/>
  <c r="E932" i="13"/>
  <c r="E927" i="13" s="1"/>
  <c r="F927" i="13"/>
  <c r="D927" i="13"/>
  <c r="F928" i="13"/>
  <c r="E928" i="13"/>
  <c r="D928" i="13"/>
  <c r="F933" i="13"/>
  <c r="D933" i="13"/>
  <c r="E919" i="13"/>
  <c r="E918" i="13"/>
  <c r="E916" i="13"/>
  <c r="E915" i="13"/>
  <c r="E911" i="13"/>
  <c r="E910" i="13"/>
  <c r="F908" i="13"/>
  <c r="D908" i="13"/>
  <c r="G913" i="13"/>
  <c r="F912" i="13"/>
  <c r="E912" i="13"/>
  <c r="D912" i="13"/>
  <c r="F899" i="13"/>
  <c r="D899" i="13"/>
  <c r="G902" i="13"/>
  <c r="E901" i="13"/>
  <c r="E900" i="13"/>
  <c r="F889" i="13"/>
  <c r="D889" i="13"/>
  <c r="F891" i="13"/>
  <c r="D891" i="13"/>
  <c r="F892" i="13"/>
  <c r="E892" i="13"/>
  <c r="D892" i="13"/>
  <c r="E891" i="13"/>
  <c r="E894" i="13"/>
  <c r="G904" i="13"/>
  <c r="F903" i="13"/>
  <c r="E903" i="13"/>
  <c r="D903" i="13"/>
  <c r="G898" i="13"/>
  <c r="F897" i="13"/>
  <c r="E897" i="13"/>
  <c r="D897" i="13"/>
  <c r="F872" i="13"/>
  <c r="F871" i="13" s="1"/>
  <c r="E872" i="13"/>
  <c r="E871" i="13" s="1"/>
  <c r="D872" i="13"/>
  <c r="D871" i="13" s="1"/>
  <c r="G871" i="13"/>
  <c r="G874" i="13"/>
  <c r="F873" i="13"/>
  <c r="E873" i="13"/>
  <c r="D873" i="13"/>
  <c r="G865" i="13"/>
  <c r="G866" i="13"/>
  <c r="E864" i="13"/>
  <c r="E863" i="13" s="1"/>
  <c r="F863" i="13"/>
  <c r="D863" i="13"/>
  <c r="E858" i="13"/>
  <c r="E853" i="13" s="1"/>
  <c r="G868" i="13"/>
  <c r="G869" i="13"/>
  <c r="F867" i="13"/>
  <c r="F849" i="13" s="1"/>
  <c r="E867" i="13"/>
  <c r="E849" i="13" s="1"/>
  <c r="D867" i="13"/>
  <c r="D849" i="13" s="1"/>
  <c r="G860" i="13"/>
  <c r="G862" i="13"/>
  <c r="F861" i="13"/>
  <c r="F847" i="13" s="1"/>
  <c r="E861" i="13"/>
  <c r="E847" i="13" s="1"/>
  <c r="D861" i="13"/>
  <c r="D847" i="13" s="1"/>
  <c r="F856" i="13"/>
  <c r="D856" i="13"/>
  <c r="F827" i="13"/>
  <c r="D827" i="13"/>
  <c r="F842" i="13"/>
  <c r="F841" i="13" s="1"/>
  <c r="E842" i="13"/>
  <c r="E841" i="13" s="1"/>
  <c r="D842" i="13"/>
  <c r="D841" i="13" s="1"/>
  <c r="G844" i="13"/>
  <c r="F843" i="13"/>
  <c r="E843" i="13"/>
  <c r="D843" i="13"/>
  <c r="E831" i="13"/>
  <c r="E827" i="13" s="1"/>
  <c r="E835" i="13"/>
  <c r="F832" i="13"/>
  <c r="F821" i="13" s="1"/>
  <c r="E832" i="13"/>
  <c r="E821" i="13" s="1"/>
  <c r="D832" i="13"/>
  <c r="D821" i="13" s="1"/>
  <c r="G833" i="13"/>
  <c r="F826" i="13"/>
  <c r="D826" i="13"/>
  <c r="G836" i="13"/>
  <c r="G838" i="13"/>
  <c r="G839" i="13"/>
  <c r="F823" i="13"/>
  <c r="E823" i="13"/>
  <c r="D837" i="13"/>
  <c r="D823" i="13" s="1"/>
  <c r="F834" i="13"/>
  <c r="D834" i="13"/>
  <c r="F816" i="13"/>
  <c r="F815" i="13" s="1"/>
  <c r="E816" i="13"/>
  <c r="E815" i="13" s="1"/>
  <c r="D816" i="13"/>
  <c r="D815" i="13" s="1"/>
  <c r="F817" i="13"/>
  <c r="E817" i="13"/>
  <c r="D817" i="13"/>
  <c r="F799" i="13"/>
  <c r="D799" i="13"/>
  <c r="F798" i="13"/>
  <c r="D798" i="13"/>
  <c r="G812" i="13"/>
  <c r="G813" i="13"/>
  <c r="F811" i="13"/>
  <c r="F795" i="13" s="1"/>
  <c r="E811" i="13"/>
  <c r="E795" i="13" s="1"/>
  <c r="D811" i="13"/>
  <c r="D795" i="13" s="1"/>
  <c r="E810" i="13"/>
  <c r="E809" i="13"/>
  <c r="F801" i="13"/>
  <c r="D801" i="13"/>
  <c r="G807" i="13"/>
  <c r="F806" i="13"/>
  <c r="F793" i="13" s="1"/>
  <c r="E806" i="13"/>
  <c r="E793" i="13" s="1"/>
  <c r="D806" i="13"/>
  <c r="D793" i="13" s="1"/>
  <c r="E804" i="13"/>
  <c r="E789" i="13"/>
  <c r="E788" i="13"/>
  <c r="E786" i="13"/>
  <c r="E785" i="13"/>
  <c r="E782" i="13"/>
  <c r="G1019" i="13" l="1"/>
  <c r="F972" i="13"/>
  <c r="G972" i="13" s="1"/>
  <c r="G1021" i="13"/>
  <c r="F973" i="13"/>
  <c r="E974" i="13"/>
  <c r="D974" i="13"/>
  <c r="F974" i="13"/>
  <c r="G1005" i="13"/>
  <c r="G1008" i="13"/>
  <c r="G996" i="13"/>
  <c r="E980" i="13"/>
  <c r="G981" i="13"/>
  <c r="G940" i="13"/>
  <c r="G958" i="13"/>
  <c r="E889" i="13"/>
  <c r="G928" i="13"/>
  <c r="D884" i="13"/>
  <c r="F884" i="13"/>
  <c r="E884" i="13"/>
  <c r="G912" i="13"/>
  <c r="G892" i="13"/>
  <c r="E899" i="13"/>
  <c r="G815" i="13"/>
  <c r="G873" i="13"/>
  <c r="G903" i="13"/>
  <c r="G897" i="13"/>
  <c r="D846" i="13"/>
  <c r="F846" i="13"/>
  <c r="G872" i="13"/>
  <c r="G849" i="13"/>
  <c r="G847" i="13"/>
  <c r="G867" i="13"/>
  <c r="G861" i="13"/>
  <c r="G832" i="13"/>
  <c r="G841" i="13"/>
  <c r="G843" i="13"/>
  <c r="G842" i="13"/>
  <c r="E826" i="13"/>
  <c r="G823" i="13"/>
  <c r="G837" i="13"/>
  <c r="G821" i="13"/>
  <c r="G817" i="13"/>
  <c r="E799" i="13"/>
  <c r="G816" i="13"/>
  <c r="G795" i="13"/>
  <c r="G811" i="13"/>
  <c r="G793" i="13"/>
  <c r="G806" i="13"/>
  <c r="G884" i="13" l="1"/>
  <c r="E770" i="13"/>
  <c r="E766" i="13" s="1"/>
  <c r="E769" i="13"/>
  <c r="E765" i="13" s="1"/>
  <c r="F766" i="13"/>
  <c r="D766" i="13"/>
  <c r="F765" i="13"/>
  <c r="D765" i="13"/>
  <c r="F767" i="13"/>
  <c r="D767" i="13"/>
  <c r="G772" i="13"/>
  <c r="G774" i="13"/>
  <c r="G775" i="13"/>
  <c r="F771" i="13"/>
  <c r="E771" i="13"/>
  <c r="D771" i="13"/>
  <c r="F773" i="13"/>
  <c r="E773" i="13"/>
  <c r="D773" i="13"/>
  <c r="G761" i="13"/>
  <c r="F750" i="13"/>
  <c r="D750" i="13"/>
  <c r="E750" i="13"/>
  <c r="F758" i="13"/>
  <c r="D758" i="13"/>
  <c r="F748" i="13"/>
  <c r="D748" i="13"/>
  <c r="G763" i="13"/>
  <c r="F762" i="13"/>
  <c r="E762" i="13"/>
  <c r="D762" i="13"/>
  <c r="E760" i="13"/>
  <c r="E759" i="13"/>
  <c r="E758" i="13" s="1"/>
  <c r="E753" i="13"/>
  <c r="F751" i="13"/>
  <c r="E751" i="13"/>
  <c r="D751" i="13"/>
  <c r="G757" i="13"/>
  <c r="F756" i="13"/>
  <c r="E756" i="13"/>
  <c r="D756" i="13"/>
  <c r="E739" i="13"/>
  <c r="E738" i="13"/>
  <c r="E736" i="13"/>
  <c r="E735" i="13"/>
  <c r="E731" i="13"/>
  <c r="E730" i="13"/>
  <c r="F728" i="13"/>
  <c r="D728" i="13"/>
  <c r="G733" i="13"/>
  <c r="F732" i="13"/>
  <c r="E732" i="13"/>
  <c r="D732" i="13"/>
  <c r="G723" i="13"/>
  <c r="E722" i="13"/>
  <c r="E721" i="13"/>
  <c r="F720" i="13"/>
  <c r="D720" i="13"/>
  <c r="E718" i="13"/>
  <c r="E717" i="13"/>
  <c r="G719" i="13"/>
  <c r="F708" i="13"/>
  <c r="E713" i="13"/>
  <c r="E708" i="13" s="1"/>
  <c r="D708" i="13"/>
  <c r="F716" i="13"/>
  <c r="D716" i="13"/>
  <c r="E712" i="13"/>
  <c r="E692" i="13"/>
  <c r="D692" i="13"/>
  <c r="G715" i="13"/>
  <c r="F714" i="13"/>
  <c r="E714" i="13"/>
  <c r="D714" i="13"/>
  <c r="F697" i="13"/>
  <c r="E697" i="13"/>
  <c r="D697" i="13"/>
  <c r="G698" i="13"/>
  <c r="F689" i="13"/>
  <c r="D689" i="13"/>
  <c r="G704" i="13"/>
  <c r="F703" i="13"/>
  <c r="E703" i="13"/>
  <c r="D703" i="13"/>
  <c r="E691" i="13"/>
  <c r="F696" i="13"/>
  <c r="F691" i="13" s="1"/>
  <c r="D691" i="13"/>
  <c r="F699" i="13"/>
  <c r="D699" i="13"/>
  <c r="G702" i="13"/>
  <c r="E701" i="13"/>
  <c r="E700" i="13"/>
  <c r="E694" i="13"/>
  <c r="E748" i="13" l="1"/>
  <c r="G751" i="13"/>
  <c r="E743" i="13"/>
  <c r="F743" i="13"/>
  <c r="G732" i="13"/>
  <c r="G773" i="13"/>
  <c r="D743" i="13"/>
  <c r="G771" i="13"/>
  <c r="D684" i="13"/>
  <c r="D678" i="13" s="1"/>
  <c r="G762" i="13"/>
  <c r="G756" i="13"/>
  <c r="E684" i="13"/>
  <c r="F684" i="13"/>
  <c r="E720" i="13"/>
  <c r="E716" i="13"/>
  <c r="G703" i="13"/>
  <c r="G714" i="13"/>
  <c r="G692" i="13"/>
  <c r="E689" i="13"/>
  <c r="G697" i="13"/>
  <c r="E699" i="13"/>
  <c r="F678" i="13" l="1"/>
  <c r="E678" i="13"/>
  <c r="G743" i="13"/>
  <c r="G684" i="13"/>
  <c r="E675" i="13"/>
  <c r="F665" i="13"/>
  <c r="D665" i="13"/>
  <c r="G674" i="13"/>
  <c r="F673" i="13"/>
  <c r="F644" i="13" s="1"/>
  <c r="E673" i="13"/>
  <c r="E644" i="13" s="1"/>
  <c r="D673" i="13"/>
  <c r="D644" i="13" s="1"/>
  <c r="F667" i="13"/>
  <c r="D667" i="13"/>
  <c r="G672" i="13"/>
  <c r="F671" i="13"/>
  <c r="E671" i="13"/>
  <c r="D671" i="13"/>
  <c r="E670" i="13"/>
  <c r="E669" i="13"/>
  <c r="E665" i="13" s="1"/>
  <c r="F651" i="13"/>
  <c r="D651" i="13"/>
  <c r="F659" i="13"/>
  <c r="D659" i="13"/>
  <c r="G662" i="13"/>
  <c r="E661" i="13"/>
  <c r="E660" i="13"/>
  <c r="G658" i="13"/>
  <c r="F657" i="13"/>
  <c r="E657" i="13"/>
  <c r="D657" i="13"/>
  <c r="F652" i="13"/>
  <c r="D652" i="13"/>
  <c r="G656" i="13"/>
  <c r="E654" i="13"/>
  <c r="E653" i="13"/>
  <c r="E640" i="13"/>
  <c r="E634" i="13" s="1"/>
  <c r="F634" i="13"/>
  <c r="D634" i="13"/>
  <c r="G639" i="13"/>
  <c r="F638" i="13"/>
  <c r="E638" i="13"/>
  <c r="D638" i="13"/>
  <c r="E637" i="13"/>
  <c r="E636" i="13"/>
  <c r="F627" i="13"/>
  <c r="D627" i="13"/>
  <c r="G629" i="13"/>
  <c r="E628" i="13"/>
  <c r="E627" i="13" s="1"/>
  <c r="F615" i="13"/>
  <c r="D615" i="13"/>
  <c r="F614" i="13"/>
  <c r="D614" i="13"/>
  <c r="G626" i="13"/>
  <c r="F625" i="13"/>
  <c r="F606" i="13" s="1"/>
  <c r="E625" i="13"/>
  <c r="D625" i="13"/>
  <c r="D606" i="13" s="1"/>
  <c r="F608" i="13"/>
  <c r="D608" i="13"/>
  <c r="F617" i="13"/>
  <c r="D617" i="13"/>
  <c r="G630" i="13"/>
  <c r="G624" i="13"/>
  <c r="F623" i="13"/>
  <c r="E623" i="13"/>
  <c r="D623" i="13"/>
  <c r="E622" i="13"/>
  <c r="E617" i="13" s="1"/>
  <c r="E620" i="13"/>
  <c r="E615" i="13" s="1"/>
  <c r="E619" i="13"/>
  <c r="E612" i="13"/>
  <c r="F574" i="13"/>
  <c r="D574" i="13"/>
  <c r="G589" i="13"/>
  <c r="F586" i="13"/>
  <c r="D586" i="13"/>
  <c r="E588" i="13"/>
  <c r="E587" i="13"/>
  <c r="F573" i="13"/>
  <c r="D573" i="13"/>
  <c r="G585" i="13"/>
  <c r="E584" i="13"/>
  <c r="E582" i="13" s="1"/>
  <c r="F571" i="13"/>
  <c r="D571" i="13"/>
  <c r="G583" i="13"/>
  <c r="F582" i="13"/>
  <c r="D582" i="13"/>
  <c r="G581" i="13"/>
  <c r="F580" i="13"/>
  <c r="E580" i="13"/>
  <c r="D580" i="13"/>
  <c r="G579" i="13"/>
  <c r="F575" i="13"/>
  <c r="D575" i="13"/>
  <c r="E577" i="13"/>
  <c r="E576" i="13"/>
  <c r="F592" i="13"/>
  <c r="D592" i="13"/>
  <c r="G601" i="13"/>
  <c r="F600" i="13"/>
  <c r="E600" i="13"/>
  <c r="D600" i="13"/>
  <c r="F594" i="13"/>
  <c r="D594" i="13"/>
  <c r="G599" i="13"/>
  <c r="F598" i="13"/>
  <c r="E598" i="13"/>
  <c r="D598" i="13"/>
  <c r="E596" i="13"/>
  <c r="E592" i="13" s="1"/>
  <c r="E594" i="13"/>
  <c r="E562" i="13"/>
  <c r="E561" i="13"/>
  <c r="E559" i="13"/>
  <c r="E558" i="13"/>
  <c r="E556" i="13"/>
  <c r="E555" i="13"/>
  <c r="F537" i="13"/>
  <c r="E537" i="13"/>
  <c r="D537" i="13"/>
  <c r="F534" i="13"/>
  <c r="D534" i="13"/>
  <c r="G549" i="13"/>
  <c r="F548" i="13"/>
  <c r="E548" i="13"/>
  <c r="D548" i="13"/>
  <c r="E547" i="13"/>
  <c r="E546" i="13"/>
  <c r="E545" i="13"/>
  <c r="G543" i="13"/>
  <c r="F542" i="13"/>
  <c r="F529" i="13" s="1"/>
  <c r="E542" i="13"/>
  <c r="E529" i="13" s="1"/>
  <c r="D542" i="13"/>
  <c r="D529" i="13" s="1"/>
  <c r="E539" i="13"/>
  <c r="F440" i="13"/>
  <c r="G678" i="13" l="1"/>
  <c r="E643" i="13"/>
  <c r="D643" i="13"/>
  <c r="F643" i="13"/>
  <c r="G671" i="13"/>
  <c r="G644" i="13"/>
  <c r="E659" i="13"/>
  <c r="G673" i="13"/>
  <c r="G657" i="13"/>
  <c r="G625" i="13"/>
  <c r="G638" i="13"/>
  <c r="E586" i="13"/>
  <c r="D605" i="13"/>
  <c r="E605" i="13"/>
  <c r="F605" i="13"/>
  <c r="E606" i="13"/>
  <c r="G606" i="13" s="1"/>
  <c r="G623" i="13"/>
  <c r="E571" i="13"/>
  <c r="E566" i="13"/>
  <c r="D566" i="13"/>
  <c r="F566" i="13"/>
  <c r="G548" i="13"/>
  <c r="G580" i="13"/>
  <c r="G598" i="13"/>
  <c r="G600" i="13"/>
  <c r="G537" i="13"/>
  <c r="E534" i="13"/>
  <c r="G542" i="13"/>
  <c r="G643" i="13" l="1"/>
  <c r="E523" i="13"/>
  <c r="F523" i="13"/>
  <c r="D523" i="13"/>
  <c r="G605" i="13"/>
  <c r="G566" i="13"/>
  <c r="F475" i="13"/>
  <c r="F502" i="13"/>
  <c r="D475" i="13"/>
  <c r="E510" i="13"/>
  <c r="E509" i="13"/>
  <c r="G507" i="13"/>
  <c r="F506" i="13"/>
  <c r="E506" i="13"/>
  <c r="D506" i="13"/>
  <c r="E505" i="13"/>
  <c r="E504" i="13"/>
  <c r="F478" i="13"/>
  <c r="F477" i="13"/>
  <c r="D478" i="13"/>
  <c r="F496" i="13"/>
  <c r="E496" i="13"/>
  <c r="D496" i="13"/>
  <c r="E495" i="13"/>
  <c r="E492" i="13" s="1"/>
  <c r="D492" i="13"/>
  <c r="F492" i="13"/>
  <c r="G493" i="13"/>
  <c r="G494" i="13"/>
  <c r="F481" i="13"/>
  <c r="D481" i="13"/>
  <c r="G491" i="13"/>
  <c r="E490" i="13"/>
  <c r="E488" i="13"/>
  <c r="E486" i="13"/>
  <c r="E485" i="13"/>
  <c r="E484" i="13"/>
  <c r="E483" i="13"/>
  <c r="E477" i="13" s="1"/>
  <c r="G523" i="13" l="1"/>
  <c r="E478" i="13"/>
  <c r="G496" i="13"/>
  <c r="G506" i="13"/>
  <c r="E223" i="13"/>
  <c r="E468" i="13"/>
  <c r="E467" i="13"/>
  <c r="E465" i="13"/>
  <c r="E464" i="13"/>
  <c r="G462" i="13"/>
  <c r="F461" i="13"/>
  <c r="F434" i="13" s="1"/>
  <c r="E461" i="13"/>
  <c r="D461" i="13"/>
  <c r="D434" i="13" s="1"/>
  <c r="E460" i="13"/>
  <c r="E459" i="13"/>
  <c r="F436" i="13"/>
  <c r="G453" i="13"/>
  <c r="F452" i="13"/>
  <c r="E452" i="13"/>
  <c r="D452" i="13"/>
  <c r="E450" i="13"/>
  <c r="E449" i="13"/>
  <c r="E448" i="13"/>
  <c r="E431" i="13"/>
  <c r="D431" i="13"/>
  <c r="E440" i="13"/>
  <c r="D440" i="13"/>
  <c r="G446" i="13"/>
  <c r="F445" i="13"/>
  <c r="E445" i="13"/>
  <c r="D445" i="13"/>
  <c r="E442" i="13"/>
  <c r="G445" i="13" l="1"/>
  <c r="F431" i="13"/>
  <c r="G431" i="13" s="1"/>
  <c r="E436" i="13"/>
  <c r="G452" i="13"/>
  <c r="G440" i="13"/>
  <c r="D457" i="13"/>
  <c r="F457" i="13"/>
  <c r="G461" i="13"/>
  <c r="E427" i="13"/>
  <c r="E426" i="13"/>
  <c r="F419" i="13"/>
  <c r="D419" i="13"/>
  <c r="G424" i="13"/>
  <c r="F423" i="13"/>
  <c r="E423" i="13"/>
  <c r="D423" i="13"/>
  <c r="E422" i="13"/>
  <c r="E421" i="13"/>
  <c r="F402" i="13"/>
  <c r="D402" i="13"/>
  <c r="F401" i="13"/>
  <c r="D401" i="13"/>
  <c r="E414" i="13"/>
  <c r="E411" i="13" s="1"/>
  <c r="G412" i="13"/>
  <c r="G413" i="13"/>
  <c r="F411" i="13"/>
  <c r="D411" i="13"/>
  <c r="F404" i="13"/>
  <c r="D404" i="13"/>
  <c r="G410" i="13"/>
  <c r="F409" i="13"/>
  <c r="E409" i="13"/>
  <c r="D409" i="13"/>
  <c r="E408" i="13"/>
  <c r="E407" i="13"/>
  <c r="E402" i="13" s="1"/>
  <c r="E406" i="13"/>
  <c r="E401" i="13" s="1"/>
  <c r="E393" i="13"/>
  <c r="E392" i="13"/>
  <c r="F385" i="13"/>
  <c r="D385" i="13"/>
  <c r="G390" i="13"/>
  <c r="F389" i="13"/>
  <c r="E389" i="13"/>
  <c r="D389" i="13"/>
  <c r="E388" i="13"/>
  <c r="E387" i="13"/>
  <c r="E380" i="13"/>
  <c r="E379" i="13"/>
  <c r="E378" i="13"/>
  <c r="F366" i="13"/>
  <c r="D366" i="13"/>
  <c r="G376" i="13"/>
  <c r="F367" i="13"/>
  <c r="D367" i="13"/>
  <c r="G372" i="13"/>
  <c r="E371" i="13"/>
  <c r="E370" i="13"/>
  <c r="E369" i="13"/>
  <c r="E368" i="13"/>
  <c r="G360" i="13"/>
  <c r="E359" i="13"/>
  <c r="E358" i="13"/>
  <c r="F356" i="13"/>
  <c r="E356" i="13"/>
  <c r="D356" i="13"/>
  <c r="F357" i="13"/>
  <c r="D357" i="13"/>
  <c r="F335" i="13"/>
  <c r="E346" i="13"/>
  <c r="G344" i="13"/>
  <c r="F343" i="13"/>
  <c r="F309" i="13" s="1"/>
  <c r="E343" i="13"/>
  <c r="E309" i="13" s="1"/>
  <c r="D343" i="13"/>
  <c r="D309" i="13" s="1"/>
  <c r="F337" i="13"/>
  <c r="D337" i="13"/>
  <c r="G342" i="13"/>
  <c r="F341" i="13"/>
  <c r="E341" i="13"/>
  <c r="D341" i="13"/>
  <c r="E336" i="13"/>
  <c r="E339" i="13"/>
  <c r="E335" i="13" s="1"/>
  <c r="E319" i="13"/>
  <c r="G320" i="13"/>
  <c r="G321" i="13"/>
  <c r="F317" i="13"/>
  <c r="D317" i="13"/>
  <c r="E318" i="13"/>
  <c r="G332" i="13"/>
  <c r="D231" i="13"/>
  <c r="F277" i="13"/>
  <c r="F231" i="13"/>
  <c r="F287" i="13"/>
  <c r="D287" i="13"/>
  <c r="E297" i="13"/>
  <c r="G296" i="13"/>
  <c r="F295" i="13"/>
  <c r="E295" i="13"/>
  <c r="D295" i="13"/>
  <c r="G285" i="13"/>
  <c r="G294" i="13"/>
  <c r="F293" i="13"/>
  <c r="F289" i="13" s="1"/>
  <c r="E293" i="13"/>
  <c r="D293" i="13"/>
  <c r="D289" i="13" s="1"/>
  <c r="E292" i="13"/>
  <c r="E291" i="13"/>
  <c r="E287" i="13" s="1"/>
  <c r="F272" i="13"/>
  <c r="D272" i="13"/>
  <c r="F271" i="13"/>
  <c r="D271" i="13"/>
  <c r="G283" i="13"/>
  <c r="G284" i="13"/>
  <c r="F282" i="13"/>
  <c r="E282" i="13"/>
  <c r="D282" i="13"/>
  <c r="E281" i="13"/>
  <c r="E280" i="13"/>
  <c r="G278" i="13"/>
  <c r="E277" i="13"/>
  <c r="E273" i="13" s="1"/>
  <c r="D277" i="13"/>
  <c r="D273" i="13" s="1"/>
  <c r="F397" i="13" l="1"/>
  <c r="D397" i="13"/>
  <c r="G409" i="13"/>
  <c r="E397" i="13"/>
  <c r="G423" i="13"/>
  <c r="E367" i="13"/>
  <c r="G389" i="13"/>
  <c r="E317" i="13"/>
  <c r="G356" i="13"/>
  <c r="E357" i="13"/>
  <c r="E230" i="13"/>
  <c r="G293" i="13"/>
  <c r="G309" i="13"/>
  <c r="G343" i="13"/>
  <c r="G341" i="13"/>
  <c r="G295" i="13"/>
  <c r="G282" i="13"/>
  <c r="F250" i="13"/>
  <c r="F247" i="13"/>
  <c r="F246" i="13"/>
  <c r="E268" i="13"/>
  <c r="E265" i="13" s="1"/>
  <c r="G266" i="13"/>
  <c r="G267" i="13"/>
  <c r="F265" i="13"/>
  <c r="D265" i="13"/>
  <c r="E264" i="13"/>
  <c r="G264" i="13" s="1"/>
  <c r="G255" i="13"/>
  <c r="F251" i="13"/>
  <c r="D251" i="13"/>
  <c r="E254" i="13"/>
  <c r="E253" i="13"/>
  <c r="E252" i="13"/>
  <c r="E246" i="13" s="1"/>
  <c r="E242" i="13"/>
  <c r="E234" i="13" s="1"/>
  <c r="E241" i="13"/>
  <c r="E233" i="13" s="1"/>
  <c r="G244" i="13"/>
  <c r="F240" i="13"/>
  <c r="D237" i="13"/>
  <c r="G238" i="13"/>
  <c r="G239" i="13"/>
  <c r="F237" i="13"/>
  <c r="E237" i="13"/>
  <c r="E195" i="13"/>
  <c r="G218" i="13"/>
  <c r="F217" i="13"/>
  <c r="E217" i="13"/>
  <c r="D217" i="13"/>
  <c r="E224" i="13"/>
  <c r="E221" i="13"/>
  <c r="E220" i="13"/>
  <c r="E216" i="13"/>
  <c r="E215" i="13"/>
  <c r="E208" i="13"/>
  <c r="E205" i="13" s="1"/>
  <c r="F199" i="13"/>
  <c r="D199" i="13"/>
  <c r="F198" i="13"/>
  <c r="D198" i="13"/>
  <c r="G206" i="13"/>
  <c r="G207" i="13"/>
  <c r="F205" i="13"/>
  <c r="D205" i="13"/>
  <c r="E204" i="13"/>
  <c r="E199" i="13" s="1"/>
  <c r="E203" i="13"/>
  <c r="E198" i="13" s="1"/>
  <c r="F183" i="13"/>
  <c r="E183" i="13"/>
  <c r="D183" i="13"/>
  <c r="G189" i="13"/>
  <c r="F188" i="13"/>
  <c r="E188" i="13"/>
  <c r="D188" i="13"/>
  <c r="D174" i="13" s="1"/>
  <c r="F179" i="13"/>
  <c r="D179" i="13"/>
  <c r="G196" i="13"/>
  <c r="F195" i="13"/>
  <c r="D195" i="13"/>
  <c r="E193" i="13"/>
  <c r="E192" i="13"/>
  <c r="E191" i="13"/>
  <c r="E185" i="13"/>
  <c r="E94" i="13"/>
  <c r="E93" i="13"/>
  <c r="E95" i="13"/>
  <c r="E91" i="13"/>
  <c r="F63" i="13"/>
  <c r="D63" i="13"/>
  <c r="F62" i="13"/>
  <c r="D62" i="13"/>
  <c r="G71" i="13"/>
  <c r="G72" i="13"/>
  <c r="F70" i="13"/>
  <c r="E70" i="13"/>
  <c r="E23" i="13" s="1"/>
  <c r="D70" i="13"/>
  <c r="G69" i="13"/>
  <c r="F68" i="13"/>
  <c r="E68" i="13"/>
  <c r="D68" i="13"/>
  <c r="E74" i="13"/>
  <c r="E67" i="13"/>
  <c r="E63" i="13" s="1"/>
  <c r="E66" i="13"/>
  <c r="D56" i="13"/>
  <c r="D55" i="13" s="1"/>
  <c r="G59" i="13"/>
  <c r="E53" i="13"/>
  <c r="E52" i="13"/>
  <c r="D51" i="13"/>
  <c r="G54" i="13"/>
  <c r="F51" i="13"/>
  <c r="E36" i="13"/>
  <c r="E35" i="13"/>
  <c r="E31" i="13" s="1"/>
  <c r="G397" i="13" l="1"/>
  <c r="D43" i="13"/>
  <c r="D23" i="13"/>
  <c r="F43" i="13"/>
  <c r="F23" i="13"/>
  <c r="G23" i="13" s="1"/>
  <c r="G188" i="13"/>
  <c r="E251" i="13"/>
  <c r="G70" i="13"/>
  <c r="F174" i="13"/>
  <c r="G217" i="13"/>
  <c r="G237" i="13"/>
  <c r="G183" i="13"/>
  <c r="E179" i="13"/>
  <c r="G179" i="13" s="1"/>
  <c r="E62" i="13"/>
  <c r="E174" i="13"/>
  <c r="D42" i="13"/>
  <c r="E43" i="13"/>
  <c r="G68" i="13"/>
  <c r="E51" i="13"/>
  <c r="G43" i="13" l="1"/>
  <c r="G174" i="13"/>
  <c r="F153" i="13"/>
  <c r="E153" i="13"/>
  <c r="D153" i="13"/>
  <c r="G158" i="13"/>
  <c r="F157" i="13"/>
  <c r="E157" i="13"/>
  <c r="D157" i="13"/>
  <c r="F127" i="13"/>
  <c r="E127" i="13"/>
  <c r="D127" i="13"/>
  <c r="F128" i="13"/>
  <c r="E128" i="13"/>
  <c r="D128" i="13"/>
  <c r="G132" i="13"/>
  <c r="G145" i="13"/>
  <c r="E142" i="13"/>
  <c r="F124" i="13"/>
  <c r="D124" i="13"/>
  <c r="G135" i="13"/>
  <c r="F107" i="13"/>
  <c r="E107" i="13"/>
  <c r="F104" i="13"/>
  <c r="E104" i="13"/>
  <c r="D104" i="13"/>
  <c r="G119" i="13"/>
  <c r="F118" i="13"/>
  <c r="E118" i="13"/>
  <c r="D118" i="13"/>
  <c r="G113" i="13"/>
  <c r="F112" i="13"/>
  <c r="E112" i="13"/>
  <c r="D112" i="13"/>
  <c r="C19" i="2"/>
  <c r="E7" i="1"/>
  <c r="E8" i="1"/>
  <c r="E97" i="1"/>
  <c r="D99" i="1"/>
  <c r="G157" i="13" l="1"/>
  <c r="G107" i="13"/>
  <c r="G118" i="13"/>
  <c r="G112" i="13"/>
  <c r="E115" i="1" l="1"/>
  <c r="D8" i="2" l="1"/>
  <c r="E109" i="1" l="1"/>
  <c r="E11" i="1" l="1"/>
  <c r="C13" i="4" l="1"/>
  <c r="F100" i="1" l="1"/>
  <c r="F101" i="1"/>
  <c r="E101" i="1"/>
  <c r="D101" i="1"/>
  <c r="E100" i="1"/>
  <c r="D100" i="1"/>
  <c r="D20" i="4" s="1"/>
  <c r="C101" i="1"/>
  <c r="C100" i="1"/>
  <c r="D6" i="4" l="1"/>
  <c r="D19" i="4" s="1"/>
  <c r="D21" i="4" s="1"/>
  <c r="G103" i="1"/>
  <c r="G101" i="1" s="1"/>
  <c r="G102" i="1"/>
  <c r="G100" i="1" s="1"/>
  <c r="G15" i="2" l="1"/>
  <c r="G12" i="2"/>
  <c r="D1242" i="13" l="1"/>
  <c r="E1240" i="13"/>
  <c r="F1239" i="13"/>
  <c r="E96" i="1" s="1"/>
  <c r="F1206" i="13"/>
  <c r="D1206" i="13"/>
  <c r="F1210" i="13"/>
  <c r="D1210" i="13"/>
  <c r="E1226" i="13"/>
  <c r="E1211" i="13" s="1"/>
  <c r="F1205" i="13"/>
  <c r="D1205" i="13"/>
  <c r="E1209" i="13"/>
  <c r="E1208" i="13"/>
  <c r="E1230" i="13"/>
  <c r="F1231" i="13"/>
  <c r="D1231" i="13"/>
  <c r="F1229" i="13"/>
  <c r="D1229" i="13"/>
  <c r="G1214" i="13"/>
  <c r="F1156" i="13"/>
  <c r="D1156" i="13"/>
  <c r="F1191" i="13"/>
  <c r="D1191" i="13"/>
  <c r="D1178" i="13"/>
  <c r="D1177" i="13"/>
  <c r="F1184" i="13"/>
  <c r="F1183" i="13" s="1"/>
  <c r="F1153" i="13" s="1"/>
  <c r="D1184" i="13"/>
  <c r="D1183" i="13" s="1"/>
  <c r="D1153" i="13" s="1"/>
  <c r="F1160" i="13"/>
  <c r="F1159" i="13"/>
  <c r="F1158" i="13"/>
  <c r="D1159" i="13"/>
  <c r="E1175" i="13"/>
  <c r="E1161" i="13" s="1"/>
  <c r="D1172" i="13"/>
  <c r="F1171" i="13"/>
  <c r="F1155" i="13" s="1"/>
  <c r="G1195" i="13"/>
  <c r="F1193" i="13"/>
  <c r="D1193" i="13"/>
  <c r="E1185" i="13"/>
  <c r="F1180" i="13"/>
  <c r="D1180" i="13"/>
  <c r="G1169" i="13"/>
  <c r="F1168" i="13"/>
  <c r="F1154" i="13" s="1"/>
  <c r="D1168" i="13"/>
  <c r="D1154" i="13" s="1"/>
  <c r="E1163" i="13"/>
  <c r="F1162" i="13"/>
  <c r="D1162" i="13"/>
  <c r="D1160" i="13"/>
  <c r="F1122" i="13"/>
  <c r="F1120" i="13" s="1"/>
  <c r="D1122" i="13"/>
  <c r="D1121" i="13"/>
  <c r="F1125" i="13"/>
  <c r="D1125" i="13"/>
  <c r="G1127" i="13"/>
  <c r="E1150" i="13"/>
  <c r="E1140" i="13" s="1"/>
  <c r="F1147" i="13"/>
  <c r="F1118" i="13" s="1"/>
  <c r="D1147" i="13"/>
  <c r="D1118" i="13" s="1"/>
  <c r="G1145" i="13"/>
  <c r="F1144" i="13"/>
  <c r="D1144" i="13"/>
  <c r="G1143" i="13"/>
  <c r="G1142" i="13"/>
  <c r="F1141" i="13"/>
  <c r="D1141" i="13"/>
  <c r="F1140" i="13"/>
  <c r="D1140" i="13"/>
  <c r="F1139" i="13"/>
  <c r="D1139" i="13"/>
  <c r="F1138" i="13"/>
  <c r="D1138" i="13"/>
  <c r="G1133" i="13"/>
  <c r="F1119" i="13"/>
  <c r="D1119" i="13"/>
  <c r="F1079" i="13"/>
  <c r="D1079" i="13"/>
  <c r="F1100" i="13"/>
  <c r="F1099" i="13"/>
  <c r="D1100" i="13"/>
  <c r="D1099" i="13"/>
  <c r="F1110" i="13"/>
  <c r="F1077" i="13" s="1"/>
  <c r="D1110" i="13"/>
  <c r="D1077" i="13" s="1"/>
  <c r="F1107" i="13"/>
  <c r="D1107" i="13"/>
  <c r="F1096" i="13"/>
  <c r="F1095" i="13" s="1"/>
  <c r="F1075" i="13" s="1"/>
  <c r="D1096" i="13"/>
  <c r="D1095" i="13" s="1"/>
  <c r="D1075" i="13" s="1"/>
  <c r="F1084" i="13"/>
  <c r="F1083" i="13"/>
  <c r="F1082" i="13"/>
  <c r="F1081" i="13"/>
  <c r="D1083" i="13"/>
  <c r="D1084" i="13"/>
  <c r="D1082" i="13"/>
  <c r="D1081" i="13"/>
  <c r="E1092" i="13"/>
  <c r="G1092" i="13" s="1"/>
  <c r="F1087" i="13"/>
  <c r="D1087" i="13"/>
  <c r="F1091" i="13"/>
  <c r="F1078" i="13" s="1"/>
  <c r="F880" i="13" s="1"/>
  <c r="D1091" i="13"/>
  <c r="D1078" i="13" s="1"/>
  <c r="D880" i="13" s="1"/>
  <c r="D519" i="13" s="1"/>
  <c r="E1113" i="13"/>
  <c r="F1102" i="13"/>
  <c r="D1102" i="13"/>
  <c r="D1101" i="13"/>
  <c r="E1097" i="13"/>
  <c r="F1085" i="13"/>
  <c r="D1085" i="13"/>
  <c r="F1028" i="13"/>
  <c r="D1028" i="13"/>
  <c r="E1056" i="13"/>
  <c r="F1032" i="13"/>
  <c r="D1032" i="13"/>
  <c r="F1034" i="13"/>
  <c r="D1034" i="13"/>
  <c r="G1036" i="13"/>
  <c r="F1065" i="13"/>
  <c r="D1065" i="13"/>
  <c r="F1063" i="13"/>
  <c r="D1063" i="13"/>
  <c r="E1060" i="13"/>
  <c r="E1045" i="13" s="1"/>
  <c r="F1044" i="13"/>
  <c r="D1044" i="13"/>
  <c r="F1029" i="13"/>
  <c r="D1029" i="13"/>
  <c r="F975" i="13"/>
  <c r="D975" i="13"/>
  <c r="F997" i="13"/>
  <c r="D997" i="13"/>
  <c r="E1011" i="13"/>
  <c r="E998" i="13" s="1"/>
  <c r="F978" i="13"/>
  <c r="F977" i="13"/>
  <c r="D978" i="13"/>
  <c r="D977" i="13"/>
  <c r="D987" i="13"/>
  <c r="E978" i="13"/>
  <c r="G985" i="13"/>
  <c r="G983" i="13"/>
  <c r="F1016" i="13"/>
  <c r="D1016" i="13"/>
  <c r="F1014" i="13"/>
  <c r="D1014" i="13"/>
  <c r="F982" i="13"/>
  <c r="D982" i="13"/>
  <c r="D1120" i="13" l="1"/>
  <c r="D1171" i="13"/>
  <c r="D1155" i="13" s="1"/>
  <c r="E1172" i="13"/>
  <c r="E1042" i="13"/>
  <c r="E1043" i="13"/>
  <c r="E999" i="13"/>
  <c r="G999" i="13" s="1"/>
  <c r="D984" i="13"/>
  <c r="D973" i="13" s="1"/>
  <c r="D979" i="13"/>
  <c r="D976" i="13" s="1"/>
  <c r="F976" i="13"/>
  <c r="E987" i="13"/>
  <c r="D1239" i="13"/>
  <c r="C96" i="1" s="1"/>
  <c r="F1207" i="13"/>
  <c r="F1202" i="13"/>
  <c r="E95" i="1" s="1"/>
  <c r="D1207" i="13"/>
  <c r="F519" i="13"/>
  <c r="G1240" i="13"/>
  <c r="G1241" i="13"/>
  <c r="D1202" i="13"/>
  <c r="C95" i="1" s="1"/>
  <c r="E1206" i="13"/>
  <c r="G1206" i="13" s="1"/>
  <c r="E1210" i="13"/>
  <c r="G1208" i="13"/>
  <c r="E1180" i="13"/>
  <c r="E1231" i="13"/>
  <c r="G1226" i="13"/>
  <c r="F1152" i="13"/>
  <c r="E93" i="1" s="1"/>
  <c r="G1224" i="13"/>
  <c r="G1223" i="13"/>
  <c r="G1215" i="13"/>
  <c r="E1156" i="13"/>
  <c r="D1152" i="13"/>
  <c r="C93" i="1" s="1"/>
  <c r="E1159" i="13"/>
  <c r="D1227" i="13"/>
  <c r="E1229" i="13"/>
  <c r="F1227" i="13"/>
  <c r="G1232" i="13"/>
  <c r="G1233" i="13"/>
  <c r="G1213" i="13"/>
  <c r="G1238" i="13"/>
  <c r="F1179" i="13"/>
  <c r="F1176" i="13" s="1"/>
  <c r="G1172" i="13"/>
  <c r="E1191" i="13"/>
  <c r="D1158" i="13"/>
  <c r="D1157" i="13" s="1"/>
  <c r="D1179" i="13"/>
  <c r="D1176" i="13" s="1"/>
  <c r="F1157" i="13"/>
  <c r="G1161" i="13"/>
  <c r="E1160" i="13"/>
  <c r="E1184" i="13"/>
  <c r="G1175" i="13"/>
  <c r="G1140" i="13"/>
  <c r="G1173" i="13"/>
  <c r="G1174" i="13"/>
  <c r="G1200" i="13"/>
  <c r="E1193" i="13"/>
  <c r="E1065" i="13"/>
  <c r="G1065" i="13" s="1"/>
  <c r="F1189" i="13"/>
  <c r="D1189" i="13"/>
  <c r="E1168" i="13"/>
  <c r="E1154" i="13" s="1"/>
  <c r="G1194" i="13"/>
  <c r="G1164" i="13"/>
  <c r="G1170" i="13"/>
  <c r="G1165" i="13"/>
  <c r="E1162" i="13"/>
  <c r="G1181" i="13"/>
  <c r="G1185" i="13"/>
  <c r="G1163" i="13"/>
  <c r="G1182" i="13"/>
  <c r="G1121" i="13"/>
  <c r="E1122" i="13"/>
  <c r="E1120" i="13" s="1"/>
  <c r="F1076" i="13"/>
  <c r="E1125" i="13"/>
  <c r="G1126" i="13"/>
  <c r="G1150" i="13"/>
  <c r="D1115" i="13"/>
  <c r="C91" i="1" s="1"/>
  <c r="E1119" i="13"/>
  <c r="F1115" i="13"/>
  <c r="E91" i="1" s="1"/>
  <c r="D1074" i="13"/>
  <c r="F1074" i="13"/>
  <c r="D1117" i="13"/>
  <c r="E1147" i="13"/>
  <c r="D1076" i="13"/>
  <c r="G1128" i="13"/>
  <c r="E1141" i="13"/>
  <c r="D1137" i="13"/>
  <c r="E1079" i="13"/>
  <c r="F1137" i="13"/>
  <c r="E1138" i="13"/>
  <c r="G1138" i="13" s="1"/>
  <c r="F1117" i="13"/>
  <c r="E1144" i="13"/>
  <c r="G1132" i="13"/>
  <c r="E1139" i="13"/>
  <c r="G1148" i="13"/>
  <c r="G1149" i="13"/>
  <c r="G1146" i="13"/>
  <c r="E1099" i="13"/>
  <c r="G1099" i="13" s="1"/>
  <c r="E1100" i="13"/>
  <c r="G1100" i="13" s="1"/>
  <c r="E1101" i="13"/>
  <c r="F1094" i="13"/>
  <c r="F1093" i="13" s="1"/>
  <c r="E1110" i="13"/>
  <c r="G1110" i="13" s="1"/>
  <c r="G1111" i="13"/>
  <c r="G1112" i="13"/>
  <c r="E1107" i="13"/>
  <c r="G1107" i="13" s="1"/>
  <c r="G1108" i="13"/>
  <c r="G1109" i="13"/>
  <c r="E975" i="13"/>
  <c r="D1094" i="13"/>
  <c r="D1093" i="13" s="1"/>
  <c r="F1080" i="13"/>
  <c r="E1084" i="13"/>
  <c r="E1083" i="13"/>
  <c r="E1096" i="13"/>
  <c r="E1082" i="13"/>
  <c r="G1082" i="13" s="1"/>
  <c r="D1080" i="13"/>
  <c r="E1081" i="13"/>
  <c r="E1087" i="13"/>
  <c r="E1091" i="13"/>
  <c r="E1085" i="13"/>
  <c r="G1088" i="13"/>
  <c r="G1089" i="13"/>
  <c r="G1090" i="13"/>
  <c r="F1098" i="13"/>
  <c r="E1102" i="13"/>
  <c r="D1098" i="13"/>
  <c r="G1086" i="13"/>
  <c r="G1104" i="13"/>
  <c r="G1097" i="13"/>
  <c r="G1103" i="13"/>
  <c r="G1113" i="13"/>
  <c r="G1057" i="13"/>
  <c r="G1058" i="13"/>
  <c r="D1030" i="13"/>
  <c r="G1064" i="13"/>
  <c r="G1046" i="13"/>
  <c r="E1032" i="13"/>
  <c r="E1034" i="13"/>
  <c r="E1029" i="13"/>
  <c r="E1063" i="13"/>
  <c r="G1063" i="13" s="1"/>
  <c r="D1041" i="13"/>
  <c r="F971" i="13"/>
  <c r="E85" i="1" s="1"/>
  <c r="D993" i="13"/>
  <c r="D1061" i="13"/>
  <c r="D1025" i="13"/>
  <c r="C87" i="1" s="1"/>
  <c r="G1035" i="13"/>
  <c r="F1025" i="13"/>
  <c r="F1061" i="13"/>
  <c r="F1041" i="13"/>
  <c r="G1060" i="13"/>
  <c r="E1044" i="13"/>
  <c r="G1045" i="13"/>
  <c r="F1030" i="13"/>
  <c r="G1047" i="13"/>
  <c r="G1066" i="13"/>
  <c r="G1048" i="13"/>
  <c r="G1037" i="13"/>
  <c r="G1067" i="13"/>
  <c r="G1062" i="13"/>
  <c r="G1049" i="13"/>
  <c r="E997" i="13"/>
  <c r="F993" i="13"/>
  <c r="G1003" i="13"/>
  <c r="E977" i="13"/>
  <c r="G992" i="13"/>
  <c r="G986" i="13"/>
  <c r="E1014" i="13"/>
  <c r="G1015" i="13"/>
  <c r="D971" i="13"/>
  <c r="E982" i="13"/>
  <c r="D1012" i="13"/>
  <c r="G1018" i="13"/>
  <c r="F1012" i="13"/>
  <c r="G1023" i="13"/>
  <c r="G1000" i="13"/>
  <c r="E1016" i="13"/>
  <c r="G1001" i="13"/>
  <c r="G1017" i="13"/>
  <c r="G995" i="13"/>
  <c r="F964" i="13"/>
  <c r="F963" i="13"/>
  <c r="D964" i="13"/>
  <c r="D963" i="13"/>
  <c r="F951" i="13"/>
  <c r="F955" i="13"/>
  <c r="F939" i="13" s="1"/>
  <c r="F877" i="13" s="1"/>
  <c r="F516" i="13" s="1"/>
  <c r="D956" i="13"/>
  <c r="E956" i="13" s="1"/>
  <c r="E944" i="13"/>
  <c r="E941" i="13"/>
  <c r="E963" i="13"/>
  <c r="F966" i="13"/>
  <c r="D966" i="13"/>
  <c r="F965" i="13"/>
  <c r="D965" i="13"/>
  <c r="E957" i="13"/>
  <c r="G957" i="13" s="1"/>
  <c r="G954" i="13"/>
  <c r="F952" i="13"/>
  <c r="D952" i="13"/>
  <c r="F945" i="13"/>
  <c r="D945" i="13"/>
  <c r="F944" i="13"/>
  <c r="D944" i="13"/>
  <c r="F943" i="13"/>
  <c r="D943" i="13"/>
  <c r="F925" i="13"/>
  <c r="F924" i="13" s="1"/>
  <c r="D925" i="13"/>
  <c r="D924" i="13" s="1"/>
  <c r="E933" i="13"/>
  <c r="F923" i="13"/>
  <c r="D923" i="13"/>
  <c r="G932" i="13"/>
  <c r="E930" i="13"/>
  <c r="E925" i="13" s="1"/>
  <c r="F929" i="13"/>
  <c r="F922" i="13" s="1"/>
  <c r="D929" i="13"/>
  <c r="D922" i="13" s="1"/>
  <c r="F887" i="13"/>
  <c r="D887" i="13"/>
  <c r="E920" i="13"/>
  <c r="E908" i="13" s="1"/>
  <c r="F917" i="13"/>
  <c r="D917" i="13"/>
  <c r="G915" i="13"/>
  <c r="F914" i="13"/>
  <c r="D914" i="13"/>
  <c r="F909" i="13"/>
  <c r="D909" i="13"/>
  <c r="F907" i="13"/>
  <c r="D907" i="13"/>
  <c r="F906" i="13"/>
  <c r="D906" i="13"/>
  <c r="G894" i="13"/>
  <c r="F893" i="13"/>
  <c r="D893" i="13"/>
  <c r="F890" i="13"/>
  <c r="F888" i="13" s="1"/>
  <c r="D890" i="13"/>
  <c r="D888" i="13" s="1"/>
  <c r="E1118" i="13" l="1"/>
  <c r="G1118" i="13" s="1"/>
  <c r="C89" i="1"/>
  <c r="D1073" i="13"/>
  <c r="C88" i="1" s="1"/>
  <c r="E89" i="1"/>
  <c r="F1073" i="13"/>
  <c r="E88" i="1" s="1"/>
  <c r="E984" i="13"/>
  <c r="E973" i="13" s="1"/>
  <c r="E979" i="13"/>
  <c r="E976" i="13" s="1"/>
  <c r="D886" i="13"/>
  <c r="D879" i="13" s="1"/>
  <c r="F886" i="13"/>
  <c r="F879" i="13" s="1"/>
  <c r="G1242" i="13"/>
  <c r="G1239" i="13" s="1"/>
  <c r="E1239" i="13"/>
  <c r="F881" i="13"/>
  <c r="E1152" i="13"/>
  <c r="D93" i="1" s="1"/>
  <c r="D1201" i="13"/>
  <c r="C94" i="1" s="1"/>
  <c r="G1180" i="13"/>
  <c r="E1207" i="13"/>
  <c r="D881" i="13"/>
  <c r="G1211" i="13"/>
  <c r="E1202" i="13"/>
  <c r="D95" i="1" s="1"/>
  <c r="G1222" i="13"/>
  <c r="E1205" i="13"/>
  <c r="G1231" i="13"/>
  <c r="G1230" i="13"/>
  <c r="G1156" i="13"/>
  <c r="E1171" i="13"/>
  <c r="E1158" i="13"/>
  <c r="E1157" i="13" s="1"/>
  <c r="G1157" i="13" s="1"/>
  <c r="G1212" i="13"/>
  <c r="G1168" i="13"/>
  <c r="G1210" i="13"/>
  <c r="G1209" i="13"/>
  <c r="G1229" i="13"/>
  <c r="G1191" i="13"/>
  <c r="E1183" i="13"/>
  <c r="E1179" i="13"/>
  <c r="E1176" i="13" s="1"/>
  <c r="G1193" i="13"/>
  <c r="G1184" i="13"/>
  <c r="G1160" i="13"/>
  <c r="G1192" i="13"/>
  <c r="G1177" i="13"/>
  <c r="F1151" i="13"/>
  <c r="E92" i="1" s="1"/>
  <c r="D1151" i="13"/>
  <c r="G1131" i="13"/>
  <c r="G1122" i="13"/>
  <c r="G1159" i="13"/>
  <c r="E1189" i="13"/>
  <c r="G1190" i="13"/>
  <c r="G1178" i="13"/>
  <c r="G1125" i="13"/>
  <c r="G1162" i="13"/>
  <c r="D1114" i="13"/>
  <c r="C90" i="1" s="1"/>
  <c r="G1119" i="13"/>
  <c r="G1141" i="13"/>
  <c r="G1147" i="13"/>
  <c r="E1115" i="13"/>
  <c r="D91" i="1" s="1"/>
  <c r="G1139" i="13"/>
  <c r="G1144" i="13"/>
  <c r="E1117" i="13"/>
  <c r="G1123" i="13"/>
  <c r="E1137" i="13"/>
  <c r="G1091" i="13"/>
  <c r="E1078" i="13"/>
  <c r="E880" i="13" s="1"/>
  <c r="E1076" i="13"/>
  <c r="E1077" i="13"/>
  <c r="G1085" i="13"/>
  <c r="E1074" i="13"/>
  <c r="E1080" i="13"/>
  <c r="G1083" i="13"/>
  <c r="E1095" i="13"/>
  <c r="E1075" i="13" s="1"/>
  <c r="E1094" i="13"/>
  <c r="G1084" i="13"/>
  <c r="G1087" i="13"/>
  <c r="G1096" i="13"/>
  <c r="G1102" i="13"/>
  <c r="G1079" i="13"/>
  <c r="F1024" i="13"/>
  <c r="E86" i="1" s="1"/>
  <c r="E87" i="1"/>
  <c r="G1029" i="13"/>
  <c r="E1028" i="13"/>
  <c r="G1101" i="13"/>
  <c r="E1098" i="13"/>
  <c r="G1081" i="13"/>
  <c r="G1032" i="13"/>
  <c r="E971" i="13"/>
  <c r="D85" i="1" s="1"/>
  <c r="G1056" i="13"/>
  <c r="E1025" i="13"/>
  <c r="G1034" i="13"/>
  <c r="E993" i="13"/>
  <c r="G1042" i="13"/>
  <c r="G1044" i="13"/>
  <c r="F970" i="13"/>
  <c r="E84" i="1" s="1"/>
  <c r="G998" i="13"/>
  <c r="G1033" i="13"/>
  <c r="G1043" i="13"/>
  <c r="D970" i="13"/>
  <c r="C84" i="1" s="1"/>
  <c r="C85" i="1"/>
  <c r="E1030" i="13"/>
  <c r="E1061" i="13"/>
  <c r="E1041" i="13"/>
  <c r="G1031" i="13"/>
  <c r="G980" i="13"/>
  <c r="G990" i="13"/>
  <c r="G987" i="13"/>
  <c r="G1014" i="13"/>
  <c r="D938" i="13"/>
  <c r="C83" i="1" s="1"/>
  <c r="F938" i="13"/>
  <c r="G1016" i="13"/>
  <c r="G982" i="13"/>
  <c r="F962" i="13"/>
  <c r="G975" i="13"/>
  <c r="C81" i="1"/>
  <c r="G978" i="13"/>
  <c r="D885" i="13"/>
  <c r="D878" i="13" s="1"/>
  <c r="F885" i="13"/>
  <c r="F878" i="13" s="1"/>
  <c r="E1012" i="13"/>
  <c r="G994" i="13"/>
  <c r="G1013" i="13"/>
  <c r="E964" i="13"/>
  <c r="E951" i="13"/>
  <c r="E955" i="13"/>
  <c r="E939" i="13" s="1"/>
  <c r="D955" i="13"/>
  <c r="D939" i="13" s="1"/>
  <c r="D877" i="13" s="1"/>
  <c r="D516" i="13" s="1"/>
  <c r="D951" i="13"/>
  <c r="D948" i="13" s="1"/>
  <c r="F948" i="13"/>
  <c r="E965" i="13"/>
  <c r="G965" i="13" s="1"/>
  <c r="E952" i="13"/>
  <c r="G952" i="13" s="1"/>
  <c r="F942" i="13"/>
  <c r="E966" i="13"/>
  <c r="D962" i="13"/>
  <c r="E81" i="1"/>
  <c r="G944" i="13"/>
  <c r="D942" i="13"/>
  <c r="E942" i="13"/>
  <c r="G946" i="13"/>
  <c r="E945" i="13"/>
  <c r="G963" i="13"/>
  <c r="G967" i="13"/>
  <c r="G968" i="13"/>
  <c r="G969" i="13"/>
  <c r="G956" i="13"/>
  <c r="G953" i="13"/>
  <c r="G947" i="13"/>
  <c r="E924" i="13"/>
  <c r="F883" i="13"/>
  <c r="D905" i="13"/>
  <c r="E929" i="13"/>
  <c r="F905" i="13"/>
  <c r="G927" i="13"/>
  <c r="E887" i="13"/>
  <c r="D883" i="13"/>
  <c r="G925" i="13"/>
  <c r="G930" i="13"/>
  <c r="G934" i="13"/>
  <c r="E917" i="13"/>
  <c r="E886" i="13" s="1"/>
  <c r="G910" i="13"/>
  <c r="E906" i="13"/>
  <c r="G920" i="13"/>
  <c r="G896" i="13"/>
  <c r="G908" i="13"/>
  <c r="E914" i="13"/>
  <c r="G916" i="13"/>
  <c r="G900" i="13"/>
  <c r="G889" i="13"/>
  <c r="E907" i="13"/>
  <c r="E909" i="13"/>
  <c r="G901" i="13"/>
  <c r="G911" i="13"/>
  <c r="E890" i="13"/>
  <c r="E888" i="13" s="1"/>
  <c r="E893" i="13"/>
  <c r="G919" i="13"/>
  <c r="G895" i="13"/>
  <c r="G918" i="13"/>
  <c r="E75" i="1"/>
  <c r="C75" i="1"/>
  <c r="E859" i="13"/>
  <c r="E854" i="13" s="1"/>
  <c r="F848" i="13"/>
  <c r="D848" i="13"/>
  <c r="E857" i="13"/>
  <c r="E852" i="13" s="1"/>
  <c r="D853" i="13"/>
  <c r="D852" i="13"/>
  <c r="E834" i="13"/>
  <c r="F822" i="13"/>
  <c r="D822" i="13"/>
  <c r="G830" i="13"/>
  <c r="F829" i="13"/>
  <c r="D829" i="13"/>
  <c r="F796" i="13"/>
  <c r="D796" i="13"/>
  <c r="F800" i="13"/>
  <c r="D800" i="13"/>
  <c r="G810" i="13"/>
  <c r="F808" i="13"/>
  <c r="F794" i="13" s="1"/>
  <c r="D808" i="13"/>
  <c r="D794" i="13" s="1"/>
  <c r="F802" i="13"/>
  <c r="D802" i="13"/>
  <c r="E805" i="13"/>
  <c r="E814" i="13"/>
  <c r="E801" i="13" s="1"/>
  <c r="E803" i="13"/>
  <c r="E798" i="13" s="1"/>
  <c r="E790" i="13"/>
  <c r="F787" i="13"/>
  <c r="F745" i="13" s="1"/>
  <c r="D787" i="13"/>
  <c r="D745" i="13" s="1"/>
  <c r="F784" i="13"/>
  <c r="D784" i="13"/>
  <c r="G783" i="13"/>
  <c r="G782" i="13"/>
  <c r="F781" i="13"/>
  <c r="D781" i="13"/>
  <c r="F780" i="13"/>
  <c r="D780" i="13"/>
  <c r="F779" i="13"/>
  <c r="D779" i="13"/>
  <c r="F778" i="13"/>
  <c r="D778" i="13"/>
  <c r="E776" i="13"/>
  <c r="E767" i="13" s="1"/>
  <c r="G770" i="13"/>
  <c r="F768" i="13"/>
  <c r="D768" i="13"/>
  <c r="G760" i="13"/>
  <c r="F752" i="13"/>
  <c r="D752" i="13"/>
  <c r="F749" i="13"/>
  <c r="F747" i="13" s="1"/>
  <c r="D749" i="13"/>
  <c r="F746" i="13"/>
  <c r="D746" i="13"/>
  <c r="F687" i="13"/>
  <c r="D687" i="13"/>
  <c r="F707" i="13"/>
  <c r="F706" i="13"/>
  <c r="D707" i="13"/>
  <c r="D706" i="13"/>
  <c r="G718" i="13"/>
  <c r="F710" i="13"/>
  <c r="D710" i="13"/>
  <c r="E740" i="13"/>
  <c r="E728" i="13" s="1"/>
  <c r="G739" i="13"/>
  <c r="F737" i="13"/>
  <c r="D737" i="13"/>
  <c r="G736" i="13"/>
  <c r="F734" i="13"/>
  <c r="D734" i="13"/>
  <c r="G730" i="13"/>
  <c r="F729" i="13"/>
  <c r="D729" i="13"/>
  <c r="F727" i="13"/>
  <c r="D727" i="13"/>
  <c r="F726" i="13"/>
  <c r="D726" i="13"/>
  <c r="E724" i="13"/>
  <c r="E709" i="13" s="1"/>
  <c r="D709" i="13"/>
  <c r="F693" i="13"/>
  <c r="D693" i="13"/>
  <c r="F690" i="13"/>
  <c r="F688" i="13" s="1"/>
  <c r="D690" i="13"/>
  <c r="D688" i="13" s="1"/>
  <c r="F646" i="13"/>
  <c r="D646" i="13"/>
  <c r="F650" i="13"/>
  <c r="F649" i="13"/>
  <c r="F648" i="13"/>
  <c r="D649" i="13"/>
  <c r="E663" i="13"/>
  <c r="E651" i="13" s="1"/>
  <c r="F645" i="13"/>
  <c r="D645" i="13"/>
  <c r="E667" i="13"/>
  <c r="F668" i="13"/>
  <c r="D668" i="13"/>
  <c r="F666" i="13"/>
  <c r="D666" i="13"/>
  <c r="E655" i="13"/>
  <c r="E652" i="13" s="1"/>
  <c r="D650" i="13"/>
  <c r="D648" i="13"/>
  <c r="F616" i="13"/>
  <c r="F618" i="13"/>
  <c r="D618" i="13"/>
  <c r="F610" i="13"/>
  <c r="F609" i="13" s="1"/>
  <c r="D610" i="13"/>
  <c r="D609" i="13" s="1"/>
  <c r="F611" i="13"/>
  <c r="D611" i="13"/>
  <c r="E608" i="13"/>
  <c r="G637" i="13"/>
  <c r="F635" i="13"/>
  <c r="D635" i="13"/>
  <c r="F633" i="13"/>
  <c r="D633" i="13"/>
  <c r="F632" i="13"/>
  <c r="D632" i="13"/>
  <c r="E614" i="13"/>
  <c r="F607" i="13"/>
  <c r="D607" i="13"/>
  <c r="E621" i="13"/>
  <c r="E616" i="13" s="1"/>
  <c r="D616" i="13"/>
  <c r="F569" i="13"/>
  <c r="D569" i="13"/>
  <c r="F593" i="13"/>
  <c r="D593" i="13"/>
  <c r="F572" i="13"/>
  <c r="D572" i="13"/>
  <c r="E590" i="13"/>
  <c r="E574" i="13" s="1"/>
  <c r="G588" i="13"/>
  <c r="F568" i="13"/>
  <c r="D568" i="13"/>
  <c r="F595" i="13"/>
  <c r="D595" i="13"/>
  <c r="F567" i="13"/>
  <c r="D567" i="13"/>
  <c r="E578" i="13"/>
  <c r="E573" i="13" s="1"/>
  <c r="G576" i="13"/>
  <c r="F536" i="13"/>
  <c r="F535" i="13"/>
  <c r="F532" i="13"/>
  <c r="F560" i="13"/>
  <c r="F531" i="13" s="1"/>
  <c r="D560" i="13"/>
  <c r="D531" i="13" s="1"/>
  <c r="D532" i="13"/>
  <c r="F552" i="13"/>
  <c r="F551" i="13"/>
  <c r="D552" i="13"/>
  <c r="D551" i="13"/>
  <c r="G558" i="13"/>
  <c r="F557" i="13"/>
  <c r="D557" i="13"/>
  <c r="D536" i="13"/>
  <c r="D535" i="13"/>
  <c r="F544" i="13"/>
  <c r="D544" i="13"/>
  <c r="F538" i="13"/>
  <c r="D538" i="13"/>
  <c r="E563" i="13"/>
  <c r="F554" i="13"/>
  <c r="D554" i="13"/>
  <c r="F553" i="13"/>
  <c r="D553" i="13"/>
  <c r="F489" i="13"/>
  <c r="F487" i="13" s="1"/>
  <c r="F472" i="13" s="1"/>
  <c r="D489" i="13"/>
  <c r="G490" i="13"/>
  <c r="F501" i="13"/>
  <c r="F500" i="13"/>
  <c r="D501" i="13"/>
  <c r="F480" i="13"/>
  <c r="D477" i="13"/>
  <c r="E498" i="13"/>
  <c r="G488" i="13"/>
  <c r="E513" i="13"/>
  <c r="F511" i="13"/>
  <c r="F474" i="13" s="1"/>
  <c r="D511" i="13"/>
  <c r="D474" i="13" s="1"/>
  <c r="F508" i="13"/>
  <c r="D508" i="13"/>
  <c r="F503" i="13"/>
  <c r="D503" i="13"/>
  <c r="D502" i="13"/>
  <c r="D500" i="13"/>
  <c r="D480" i="13"/>
  <c r="G486" i="13"/>
  <c r="F482" i="13"/>
  <c r="D482" i="13"/>
  <c r="F438" i="13"/>
  <c r="D438" i="13"/>
  <c r="D451" i="13"/>
  <c r="E438" i="13"/>
  <c r="F456" i="13"/>
  <c r="F455" i="13"/>
  <c r="D456" i="13"/>
  <c r="D455" i="13"/>
  <c r="F466" i="13"/>
  <c r="F433" i="13" s="1"/>
  <c r="D466" i="13"/>
  <c r="D433" i="13" s="1"/>
  <c r="F439" i="13"/>
  <c r="F437" i="13"/>
  <c r="D437" i="13"/>
  <c r="D436" i="13"/>
  <c r="F447" i="13"/>
  <c r="E469" i="13"/>
  <c r="F463" i="13"/>
  <c r="D463" i="13"/>
  <c r="G460" i="13"/>
  <c r="F458" i="13"/>
  <c r="D458" i="13"/>
  <c r="G443" i="13"/>
  <c r="F441" i="13"/>
  <c r="D441" i="13"/>
  <c r="F399" i="13"/>
  <c r="F403" i="13"/>
  <c r="E428" i="13"/>
  <c r="E419" i="13" s="1"/>
  <c r="E417" i="13"/>
  <c r="F425" i="13"/>
  <c r="D425" i="13"/>
  <c r="D398" i="13" s="1"/>
  <c r="F420" i="13"/>
  <c r="D420" i="13"/>
  <c r="F418" i="13"/>
  <c r="D418" i="13"/>
  <c r="F417" i="13"/>
  <c r="D417" i="13"/>
  <c r="E415" i="13"/>
  <c r="E404" i="13" s="1"/>
  <c r="F405" i="13"/>
  <c r="D405" i="13"/>
  <c r="D403" i="13"/>
  <c r="D399" i="13"/>
  <c r="F352" i="13"/>
  <c r="F384" i="13"/>
  <c r="F383" i="13"/>
  <c r="D384" i="13"/>
  <c r="F391" i="13"/>
  <c r="D391" i="13"/>
  <c r="F365" i="13"/>
  <c r="F363" i="13"/>
  <c r="F362" i="13"/>
  <c r="D365" i="13"/>
  <c r="D363" i="13"/>
  <c r="D362" i="13"/>
  <c r="F374" i="13"/>
  <c r="D374" i="13"/>
  <c r="F377" i="13"/>
  <c r="D377" i="13"/>
  <c r="E355" i="13"/>
  <c r="F355" i="13"/>
  <c r="D355" i="13"/>
  <c r="F354" i="13"/>
  <c r="D354" i="13"/>
  <c r="E394" i="13"/>
  <c r="E385" i="13" s="1"/>
  <c r="F386" i="13"/>
  <c r="D386" i="13"/>
  <c r="D383" i="13"/>
  <c r="E381" i="13"/>
  <c r="E366" i="13" s="1"/>
  <c r="E375" i="13"/>
  <c r="D352" i="13"/>
  <c r="F311" i="13"/>
  <c r="F336" i="13"/>
  <c r="D336" i="13"/>
  <c r="D335" i="13"/>
  <c r="F323" i="13"/>
  <c r="F315" i="13" s="1"/>
  <c r="D323" i="13"/>
  <c r="D315" i="13" s="1"/>
  <c r="E331" i="13"/>
  <c r="E330" i="13"/>
  <c r="E329" i="13"/>
  <c r="E328" i="13"/>
  <c r="E327" i="13"/>
  <c r="E326" i="13"/>
  <c r="G326" i="13" s="1"/>
  <c r="E325" i="13"/>
  <c r="E324" i="13"/>
  <c r="D313" i="13"/>
  <c r="D314" i="13"/>
  <c r="E347" i="13"/>
  <c r="E337" i="13" s="1"/>
  <c r="E345" i="13"/>
  <c r="E310" i="13" s="1"/>
  <c r="F345" i="13"/>
  <c r="F310" i="13" s="1"/>
  <c r="D345" i="13"/>
  <c r="D310" i="13" s="1"/>
  <c r="G340" i="13"/>
  <c r="G339" i="13"/>
  <c r="F338" i="13"/>
  <c r="D338" i="13"/>
  <c r="E333" i="13"/>
  <c r="E316" i="13" s="1"/>
  <c r="E313" i="13"/>
  <c r="F314" i="13"/>
  <c r="F313" i="13"/>
  <c r="D311" i="13"/>
  <c r="E263" i="13"/>
  <c r="G263" i="13" s="1"/>
  <c r="E261" i="13"/>
  <c r="G261" i="13" s="1"/>
  <c r="E260" i="13"/>
  <c r="G260" i="13" s="1"/>
  <c r="E259" i="13"/>
  <c r="G259" i="13" s="1"/>
  <c r="F262" i="13"/>
  <c r="D262" i="13"/>
  <c r="D249" i="13" s="1"/>
  <c r="F258" i="13"/>
  <c r="D258" i="13"/>
  <c r="D243" i="13"/>
  <c r="D233" i="13"/>
  <c r="F288" i="13"/>
  <c r="D288" i="13"/>
  <c r="F235" i="13"/>
  <c r="F232" i="13" s="1"/>
  <c r="D247" i="13"/>
  <c r="E257" i="13"/>
  <c r="E247" i="13" s="1"/>
  <c r="E299" i="13"/>
  <c r="E289" i="13" s="1"/>
  <c r="F297" i="13"/>
  <c r="F230" i="13" s="1"/>
  <c r="D297" i="13"/>
  <c r="D230" i="13" s="1"/>
  <c r="F290" i="13"/>
  <c r="D290" i="13"/>
  <c r="G281" i="13"/>
  <c r="F279" i="13"/>
  <c r="F229" i="13" s="1"/>
  <c r="D279" i="13"/>
  <c r="E276" i="13"/>
  <c r="E272" i="13" s="1"/>
  <c r="E275" i="13"/>
  <c r="E271" i="13" s="1"/>
  <c r="F274" i="13"/>
  <c r="D274" i="13"/>
  <c r="E269" i="13"/>
  <c r="D250" i="13"/>
  <c r="D246" i="13"/>
  <c r="D181" i="13"/>
  <c r="D194" i="13"/>
  <c r="E194" i="13" s="1"/>
  <c r="F177" i="13"/>
  <c r="F201" i="13"/>
  <c r="F200" i="13"/>
  <c r="D200" i="13"/>
  <c r="E225" i="13"/>
  <c r="E213" i="13" s="1"/>
  <c r="F222" i="13"/>
  <c r="D222" i="13"/>
  <c r="D176" i="13" s="1"/>
  <c r="G221" i="13"/>
  <c r="F219" i="13"/>
  <c r="D219" i="13"/>
  <c r="G215" i="13"/>
  <c r="F214" i="13"/>
  <c r="D214" i="13"/>
  <c r="F212" i="13"/>
  <c r="D212" i="13"/>
  <c r="F211" i="13"/>
  <c r="D211" i="13"/>
  <c r="E209" i="13"/>
  <c r="G209" i="13" s="1"/>
  <c r="G204" i="13"/>
  <c r="F202" i="13"/>
  <c r="D202" i="13"/>
  <c r="D201" i="13"/>
  <c r="G185" i="13"/>
  <c r="F184" i="13"/>
  <c r="D184" i="13"/>
  <c r="F182" i="13"/>
  <c r="F180" i="13"/>
  <c r="D180" i="13"/>
  <c r="D177" i="13"/>
  <c r="F102" i="13"/>
  <c r="F82" i="13" s="1"/>
  <c r="D102" i="13"/>
  <c r="D82" i="13" s="1"/>
  <c r="F152" i="13"/>
  <c r="F151" i="13"/>
  <c r="D152" i="13"/>
  <c r="D151" i="13"/>
  <c r="F162" i="13"/>
  <c r="D162" i="13"/>
  <c r="F159" i="13"/>
  <c r="D159" i="13"/>
  <c r="F154" i="13"/>
  <c r="D154" i="13"/>
  <c r="F126" i="13"/>
  <c r="D126" i="13"/>
  <c r="F123" i="13"/>
  <c r="D123" i="13"/>
  <c r="F136" i="13"/>
  <c r="F133" i="13" s="1"/>
  <c r="F98" i="13" s="1"/>
  <c r="D136" i="13"/>
  <c r="D133" i="13" s="1"/>
  <c r="D98" i="13" s="1"/>
  <c r="G142" i="13"/>
  <c r="G140" i="13"/>
  <c r="G148" i="13"/>
  <c r="F146" i="13"/>
  <c r="D147" i="13"/>
  <c r="D146" i="13" s="1"/>
  <c r="F106" i="13"/>
  <c r="D106" i="13"/>
  <c r="F105" i="13"/>
  <c r="D105" i="13"/>
  <c r="D121" i="13"/>
  <c r="F120" i="13"/>
  <c r="F108" i="13"/>
  <c r="D108" i="13"/>
  <c r="G149" i="13"/>
  <c r="E124" i="13"/>
  <c r="G117" i="13"/>
  <c r="G116" i="13"/>
  <c r="G115" i="13"/>
  <c r="F114" i="13"/>
  <c r="D114" i="13"/>
  <c r="F87" i="13"/>
  <c r="D87" i="13"/>
  <c r="F89" i="13"/>
  <c r="F88" i="13"/>
  <c r="D89" i="13"/>
  <c r="D88" i="13"/>
  <c r="G95" i="13"/>
  <c r="G94" i="13"/>
  <c r="G93" i="13"/>
  <c r="F92" i="13"/>
  <c r="F85" i="13" s="1"/>
  <c r="D92" i="13"/>
  <c r="D85" i="13" s="1"/>
  <c r="E90" i="13"/>
  <c r="F90" i="13"/>
  <c r="D90" i="13"/>
  <c r="D84" i="13" s="1"/>
  <c r="F17" i="1"/>
  <c r="F16" i="1"/>
  <c r="F29" i="13"/>
  <c r="D29" i="13"/>
  <c r="F45" i="13"/>
  <c r="D45" i="13"/>
  <c r="F73" i="13"/>
  <c r="F44" i="13" s="1"/>
  <c r="F24" i="13" s="1"/>
  <c r="D73" i="13"/>
  <c r="D44" i="13" s="1"/>
  <c r="D24" i="13" s="1"/>
  <c r="F56" i="13"/>
  <c r="F55" i="13" s="1"/>
  <c r="F42" i="13" s="1"/>
  <c r="F22" i="13" s="1"/>
  <c r="D49" i="13"/>
  <c r="E58" i="13"/>
  <c r="E57" i="13"/>
  <c r="E75" i="13"/>
  <c r="E64" i="13" s="1"/>
  <c r="F65" i="13"/>
  <c r="D65" i="13"/>
  <c r="E60" i="13"/>
  <c r="E50" i="13" s="1"/>
  <c r="D50" i="13"/>
  <c r="F48" i="13"/>
  <c r="D48" i="13"/>
  <c r="F47" i="13"/>
  <c r="D47" i="13"/>
  <c r="F32" i="13"/>
  <c r="F31" i="13"/>
  <c r="D33" i="13"/>
  <c r="D32" i="13"/>
  <c r="D31" i="13"/>
  <c r="E39" i="13"/>
  <c r="F34" i="13"/>
  <c r="F27" i="13" s="1"/>
  <c r="D34" i="13"/>
  <c r="D27" i="13" s="1"/>
  <c r="F49" i="1"/>
  <c r="E49" i="1"/>
  <c r="F48" i="1"/>
  <c r="E48" i="1"/>
  <c r="C49" i="1"/>
  <c r="C48" i="1"/>
  <c r="G1183" i="13" l="1"/>
  <c r="E1153" i="13"/>
  <c r="G1171" i="13"/>
  <c r="E1155" i="13"/>
  <c r="E879" i="13" s="1"/>
  <c r="D89" i="1"/>
  <c r="G979" i="13"/>
  <c r="E856" i="13"/>
  <c r="E846" i="13" s="1"/>
  <c r="D75" i="1" s="1"/>
  <c r="D820" i="13"/>
  <c r="C73" i="1" s="1"/>
  <c r="F820" i="13"/>
  <c r="E73" i="1" s="1"/>
  <c r="D792" i="13"/>
  <c r="C71" i="1" s="1"/>
  <c r="F792" i="13"/>
  <c r="E71" i="1" s="1"/>
  <c r="G717" i="13"/>
  <c r="D686" i="13"/>
  <c r="D680" i="13" s="1"/>
  <c r="F686" i="13"/>
  <c r="F680" i="13" s="1"/>
  <c r="G663" i="13"/>
  <c r="E575" i="13"/>
  <c r="D533" i="13"/>
  <c r="F533" i="13"/>
  <c r="E475" i="13"/>
  <c r="F435" i="13"/>
  <c r="D487" i="13"/>
  <c r="D472" i="13" s="1"/>
  <c r="G498" i="13"/>
  <c r="E481" i="13"/>
  <c r="F176" i="13"/>
  <c r="F170" i="13"/>
  <c r="E434" i="13"/>
  <c r="E457" i="13"/>
  <c r="D447" i="13"/>
  <c r="D432" i="13" s="1"/>
  <c r="E451" i="13"/>
  <c r="F353" i="13"/>
  <c r="D364" i="13"/>
  <c r="D361" i="13" s="1"/>
  <c r="D373" i="13"/>
  <c r="D350" i="13" s="1"/>
  <c r="F364" i="13"/>
  <c r="F361" i="13" s="1"/>
  <c r="F373" i="13"/>
  <c r="F350" i="13" s="1"/>
  <c r="F322" i="13"/>
  <c r="F308" i="13" s="1"/>
  <c r="D312" i="13"/>
  <c r="D322" i="13"/>
  <c r="D308" i="13" s="1"/>
  <c r="E250" i="13"/>
  <c r="E231" i="13"/>
  <c r="D256" i="13"/>
  <c r="D228" i="13" s="1"/>
  <c r="D168" i="13" s="1"/>
  <c r="F248" i="13"/>
  <c r="F256" i="13"/>
  <c r="F228" i="13" s="1"/>
  <c r="F168" i="13" s="1"/>
  <c r="G257" i="13"/>
  <c r="D235" i="13"/>
  <c r="D232" i="13" s="1"/>
  <c r="D240" i="13"/>
  <c r="D229" i="13" s="1"/>
  <c r="E243" i="13"/>
  <c r="E240" i="13" s="1"/>
  <c r="D227" i="13"/>
  <c r="C35" i="1" s="1"/>
  <c r="F227" i="13"/>
  <c r="E35" i="1" s="1"/>
  <c r="E56" i="13"/>
  <c r="E55" i="13" s="1"/>
  <c r="E42" i="13" s="1"/>
  <c r="D120" i="13"/>
  <c r="D101" i="13" s="1"/>
  <c r="D81" i="13" s="1"/>
  <c r="D18" i="13" s="1"/>
  <c r="D11" i="13" s="1"/>
  <c r="D107" i="13"/>
  <c r="D103" i="13" s="1"/>
  <c r="D100" i="13"/>
  <c r="D80" i="13" s="1"/>
  <c r="F100" i="13"/>
  <c r="F80" i="13" s="1"/>
  <c r="D78" i="13"/>
  <c r="C92" i="1"/>
  <c r="D96" i="1"/>
  <c r="G1202" i="13"/>
  <c r="E519" i="13"/>
  <c r="G519" i="13" s="1"/>
  <c r="G880" i="13"/>
  <c r="E79" i="1"/>
  <c r="F876" i="13"/>
  <c r="E83" i="1"/>
  <c r="F937" i="13"/>
  <c r="E82" i="1" s="1"/>
  <c r="E881" i="13"/>
  <c r="G881" i="13" s="1"/>
  <c r="G929" i="13"/>
  <c r="E922" i="13"/>
  <c r="G933" i="13"/>
  <c r="E923" i="13"/>
  <c r="C79" i="1"/>
  <c r="D876" i="13"/>
  <c r="D875" i="13" s="1"/>
  <c r="G1158" i="13"/>
  <c r="F1201" i="13"/>
  <c r="E94" i="1" s="1"/>
  <c r="E1201" i="13"/>
  <c r="G1205" i="13"/>
  <c r="G1207" i="13"/>
  <c r="G1179" i="13"/>
  <c r="G1176" i="13"/>
  <c r="G1154" i="13"/>
  <c r="G1189" i="13"/>
  <c r="G1152" i="13"/>
  <c r="G1094" i="13"/>
  <c r="G1120" i="13"/>
  <c r="G1117" i="13"/>
  <c r="G1115" i="13"/>
  <c r="G1137" i="13"/>
  <c r="F1114" i="13"/>
  <c r="E90" i="1" s="1"/>
  <c r="E1114" i="13"/>
  <c r="G1076" i="13"/>
  <c r="E1073" i="13"/>
  <c r="G1073" i="13" s="1"/>
  <c r="G1095" i="13"/>
  <c r="G1074" i="13"/>
  <c r="G1077" i="13"/>
  <c r="G1078" i="13"/>
  <c r="E1093" i="13"/>
  <c r="G1093" i="13" s="1"/>
  <c r="G1028" i="13"/>
  <c r="E1024" i="13"/>
  <c r="D87" i="1"/>
  <c r="G1080" i="13"/>
  <c r="G1098" i="13"/>
  <c r="G1025" i="13"/>
  <c r="E970" i="13"/>
  <c r="D84" i="1" s="1"/>
  <c r="G899" i="13"/>
  <c r="G974" i="13"/>
  <c r="G1041" i="13"/>
  <c r="G1061" i="13"/>
  <c r="D1024" i="13"/>
  <c r="G1030" i="13"/>
  <c r="G977" i="13"/>
  <c r="D937" i="13"/>
  <c r="C82" i="1" s="1"/>
  <c r="G984" i="13"/>
  <c r="G941" i="13"/>
  <c r="G951" i="13"/>
  <c r="G945" i="13"/>
  <c r="E938" i="13"/>
  <c r="G971" i="13"/>
  <c r="G997" i="13"/>
  <c r="G1011" i="13"/>
  <c r="G993" i="13"/>
  <c r="G1012" i="13"/>
  <c r="E962" i="13"/>
  <c r="E948" i="13"/>
  <c r="G948" i="13" s="1"/>
  <c r="G966" i="13"/>
  <c r="G924" i="13"/>
  <c r="D921" i="13"/>
  <c r="C80" i="1" s="1"/>
  <c r="G939" i="13"/>
  <c r="G950" i="13"/>
  <c r="G942" i="13"/>
  <c r="G955" i="13"/>
  <c r="F921" i="13"/>
  <c r="E80" i="1" s="1"/>
  <c r="F882" i="13"/>
  <c r="E78" i="1" s="1"/>
  <c r="G917" i="13"/>
  <c r="G891" i="13"/>
  <c r="G949" i="13"/>
  <c r="G964" i="13"/>
  <c r="G943" i="13"/>
  <c r="F681" i="13"/>
  <c r="G850" i="13"/>
  <c r="D882" i="13"/>
  <c r="C78" i="1" s="1"/>
  <c r="G887" i="13"/>
  <c r="G886" i="13"/>
  <c r="F851" i="13"/>
  <c r="E883" i="13"/>
  <c r="E885" i="13"/>
  <c r="D681" i="13"/>
  <c r="G926" i="13"/>
  <c r="G914" i="13"/>
  <c r="G906" i="13"/>
  <c r="E905" i="13"/>
  <c r="G909" i="13"/>
  <c r="G890" i="13"/>
  <c r="G907" i="13"/>
  <c r="G893" i="13"/>
  <c r="G859" i="13"/>
  <c r="G828" i="13"/>
  <c r="D851" i="13"/>
  <c r="G858" i="13"/>
  <c r="G853" i="13"/>
  <c r="G852" i="13"/>
  <c r="F845" i="13"/>
  <c r="E74" i="1" s="1"/>
  <c r="D845" i="13"/>
  <c r="C74" i="1" s="1"/>
  <c r="G857" i="13"/>
  <c r="G864" i="13"/>
  <c r="F825" i="13"/>
  <c r="F744" i="13"/>
  <c r="E796" i="13"/>
  <c r="G796" i="13" s="1"/>
  <c r="D825" i="13"/>
  <c r="D744" i="13"/>
  <c r="E822" i="13"/>
  <c r="G834" i="13"/>
  <c r="G831" i="13"/>
  <c r="E829" i="13"/>
  <c r="E820" i="13" s="1"/>
  <c r="G835" i="13"/>
  <c r="E800" i="13"/>
  <c r="G800" i="13" s="1"/>
  <c r="E802" i="13"/>
  <c r="E752" i="13"/>
  <c r="F797" i="13"/>
  <c r="G801" i="13"/>
  <c r="E808" i="13"/>
  <c r="G809" i="13"/>
  <c r="F742" i="13"/>
  <c r="E69" i="1" s="1"/>
  <c r="G805" i="13"/>
  <c r="E746" i="13"/>
  <c r="G746" i="13" s="1"/>
  <c r="G814" i="13"/>
  <c r="D797" i="13"/>
  <c r="G804" i="13"/>
  <c r="G803" i="13"/>
  <c r="E779" i="13"/>
  <c r="E781" i="13"/>
  <c r="D764" i="13"/>
  <c r="E784" i="13"/>
  <c r="D742" i="13"/>
  <c r="C69" i="1" s="1"/>
  <c r="F685" i="13"/>
  <c r="D683" i="13"/>
  <c r="D777" i="13"/>
  <c r="F764" i="13"/>
  <c r="E787" i="13"/>
  <c r="E745" i="13" s="1"/>
  <c r="E706" i="13"/>
  <c r="F777" i="13"/>
  <c r="G755" i="13"/>
  <c r="E749" i="13"/>
  <c r="E747" i="13" s="1"/>
  <c r="D747" i="13"/>
  <c r="E768" i="13"/>
  <c r="G776" i="13"/>
  <c r="G788" i="13"/>
  <c r="G753" i="13"/>
  <c r="G785" i="13"/>
  <c r="G759" i="13"/>
  <c r="G769" i="13"/>
  <c r="G789" i="13"/>
  <c r="G754" i="13"/>
  <c r="E780" i="13"/>
  <c r="G786" i="13"/>
  <c r="G750" i="13"/>
  <c r="E778" i="13"/>
  <c r="G790" i="13"/>
  <c r="F683" i="13"/>
  <c r="D685" i="13"/>
  <c r="E687" i="13"/>
  <c r="E707" i="13"/>
  <c r="G721" i="13"/>
  <c r="G722" i="13"/>
  <c r="D642" i="13"/>
  <c r="C63" i="1" s="1"/>
  <c r="E710" i="13"/>
  <c r="G710" i="13" s="1"/>
  <c r="D526" i="13"/>
  <c r="G728" i="13"/>
  <c r="F705" i="13"/>
  <c r="G740" i="13"/>
  <c r="F642" i="13"/>
  <c r="G713" i="13"/>
  <c r="D525" i="13"/>
  <c r="F525" i="13"/>
  <c r="E729" i="13"/>
  <c r="G729" i="13" s="1"/>
  <c r="F526" i="13"/>
  <c r="G696" i="13"/>
  <c r="E648" i="13"/>
  <c r="F725" i="13"/>
  <c r="E734" i="13"/>
  <c r="G735" i="13"/>
  <c r="E649" i="13"/>
  <c r="G649" i="13" s="1"/>
  <c r="E646" i="13"/>
  <c r="E650" i="13"/>
  <c r="E645" i="13"/>
  <c r="E737" i="13"/>
  <c r="D647" i="13"/>
  <c r="G651" i="13"/>
  <c r="D705" i="13"/>
  <c r="E635" i="13"/>
  <c r="G635" i="13" s="1"/>
  <c r="G701" i="13"/>
  <c r="E727" i="13"/>
  <c r="D725" i="13"/>
  <c r="G738" i="13"/>
  <c r="G731" i="13"/>
  <c r="E726" i="13"/>
  <c r="E693" i="13"/>
  <c r="E690" i="13"/>
  <c r="E688" i="13" s="1"/>
  <c r="G700" i="13"/>
  <c r="G711" i="13"/>
  <c r="G695" i="13"/>
  <c r="G712" i="13"/>
  <c r="G694" i="13"/>
  <c r="G724" i="13"/>
  <c r="E666" i="13"/>
  <c r="D664" i="13"/>
  <c r="G661" i="13"/>
  <c r="E668" i="13"/>
  <c r="F604" i="13"/>
  <c r="E61" i="1" s="1"/>
  <c r="G660" i="13"/>
  <c r="F664" i="13"/>
  <c r="F647" i="13"/>
  <c r="D604" i="13"/>
  <c r="C61" i="1" s="1"/>
  <c r="G655" i="13"/>
  <c r="G654" i="13"/>
  <c r="G675" i="13"/>
  <c r="G669" i="13"/>
  <c r="G653" i="13"/>
  <c r="G670" i="13"/>
  <c r="G665" i="13"/>
  <c r="D613" i="13"/>
  <c r="E569" i="13"/>
  <c r="E618" i="13"/>
  <c r="G618" i="13" s="1"/>
  <c r="D479" i="13"/>
  <c r="D476" i="13" s="1"/>
  <c r="G622" i="13"/>
  <c r="E593" i="13"/>
  <c r="F565" i="13"/>
  <c r="E59" i="1" s="1"/>
  <c r="D631" i="13"/>
  <c r="D570" i="13"/>
  <c r="E633" i="13"/>
  <c r="G633" i="13" s="1"/>
  <c r="G616" i="13"/>
  <c r="F631" i="13"/>
  <c r="F570" i="13"/>
  <c r="G620" i="13"/>
  <c r="F613" i="13"/>
  <c r="G621" i="13"/>
  <c r="G640" i="13"/>
  <c r="G636" i="13"/>
  <c r="G628" i="13"/>
  <c r="G619" i="13"/>
  <c r="E632" i="13"/>
  <c r="E572" i="13"/>
  <c r="E568" i="13"/>
  <c r="F530" i="13"/>
  <c r="F524" i="13" s="1"/>
  <c r="D530" i="13"/>
  <c r="D524" i="13" s="1"/>
  <c r="G587" i="13"/>
  <c r="G590" i="13"/>
  <c r="F528" i="13"/>
  <c r="E535" i="13"/>
  <c r="G602" i="13"/>
  <c r="E595" i="13"/>
  <c r="E536" i="13"/>
  <c r="F479" i="13"/>
  <c r="F476" i="13" s="1"/>
  <c r="E532" i="13"/>
  <c r="D528" i="13"/>
  <c r="E560" i="13"/>
  <c r="E531" i="13" s="1"/>
  <c r="D565" i="13"/>
  <c r="C59" i="1" s="1"/>
  <c r="G597" i="13"/>
  <c r="F591" i="13"/>
  <c r="D591" i="13"/>
  <c r="G584" i="13"/>
  <c r="E567" i="13"/>
  <c r="G578" i="13"/>
  <c r="G577" i="13"/>
  <c r="G573" i="13"/>
  <c r="G596" i="13"/>
  <c r="G562" i="13"/>
  <c r="E552" i="13"/>
  <c r="E551" i="13"/>
  <c r="G561" i="13"/>
  <c r="E557" i="13"/>
  <c r="G559" i="13"/>
  <c r="F471" i="13"/>
  <c r="E47" i="1" s="1"/>
  <c r="D304" i="13"/>
  <c r="D305" i="13"/>
  <c r="E538" i="13"/>
  <c r="D550" i="13"/>
  <c r="F304" i="13"/>
  <c r="F305" i="13"/>
  <c r="E553" i="13"/>
  <c r="E544" i="13"/>
  <c r="E554" i="13"/>
  <c r="G547" i="13"/>
  <c r="G546" i="13"/>
  <c r="G545" i="13"/>
  <c r="G541" i="13"/>
  <c r="F550" i="13"/>
  <c r="F473" i="13"/>
  <c r="E489" i="13"/>
  <c r="E487" i="13" s="1"/>
  <c r="G555" i="13"/>
  <c r="G556" i="13"/>
  <c r="G563" i="13"/>
  <c r="G539" i="13"/>
  <c r="G540" i="13"/>
  <c r="E500" i="13"/>
  <c r="E501" i="13"/>
  <c r="E502" i="13"/>
  <c r="E508" i="13"/>
  <c r="G508" i="13" s="1"/>
  <c r="G505" i="13"/>
  <c r="G485" i="13"/>
  <c r="E503" i="13"/>
  <c r="D471" i="13"/>
  <c r="C47" i="1" s="1"/>
  <c r="E482" i="13"/>
  <c r="D499" i="13"/>
  <c r="E511" i="13"/>
  <c r="E474" i="13" s="1"/>
  <c r="G513" i="13"/>
  <c r="F430" i="13"/>
  <c r="E45" i="1" s="1"/>
  <c r="D473" i="13"/>
  <c r="F499" i="13"/>
  <c r="G504" i="13"/>
  <c r="F432" i="13"/>
  <c r="G483" i="13"/>
  <c r="E480" i="13"/>
  <c r="G512" i="13"/>
  <c r="G509" i="13"/>
  <c r="G484" i="13"/>
  <c r="G510" i="13"/>
  <c r="G450" i="13"/>
  <c r="E455" i="13"/>
  <c r="E456" i="13"/>
  <c r="E466" i="13"/>
  <c r="E433" i="13" s="1"/>
  <c r="G467" i="13"/>
  <c r="G468" i="13"/>
  <c r="D439" i="13"/>
  <c r="D435" i="13" s="1"/>
  <c r="F398" i="13"/>
  <c r="F396" i="13"/>
  <c r="E43" i="1" s="1"/>
  <c r="E437" i="13"/>
  <c r="D396" i="13"/>
  <c r="C43" i="1" s="1"/>
  <c r="D430" i="13"/>
  <c r="C45" i="1" s="1"/>
  <c r="G448" i="13"/>
  <c r="G449" i="13"/>
  <c r="E458" i="13"/>
  <c r="E399" i="13"/>
  <c r="G399" i="13" s="1"/>
  <c r="E463" i="13"/>
  <c r="D454" i="13"/>
  <c r="F454" i="13"/>
  <c r="G464" i="13"/>
  <c r="G465" i="13"/>
  <c r="G469" i="13"/>
  <c r="G444" i="13"/>
  <c r="E441" i="13"/>
  <c r="G459" i="13"/>
  <c r="G442" i="13"/>
  <c r="E403" i="13"/>
  <c r="G419" i="13"/>
  <c r="E425" i="13"/>
  <c r="E420" i="13"/>
  <c r="G420" i="13" s="1"/>
  <c r="E384" i="13"/>
  <c r="G384" i="13" s="1"/>
  <c r="F349" i="13"/>
  <c r="E41" i="1" s="1"/>
  <c r="F400" i="13"/>
  <c r="D353" i="13"/>
  <c r="E362" i="13"/>
  <c r="G415" i="13"/>
  <c r="E391" i="13"/>
  <c r="D416" i="13"/>
  <c r="E418" i="13"/>
  <c r="E352" i="13"/>
  <c r="E383" i="13"/>
  <c r="E374" i="13"/>
  <c r="F416" i="13"/>
  <c r="E405" i="13"/>
  <c r="G407" i="13"/>
  <c r="G426" i="13"/>
  <c r="G421" i="13"/>
  <c r="G408" i="13"/>
  <c r="G427" i="13"/>
  <c r="G422" i="13"/>
  <c r="G406" i="13"/>
  <c r="G414" i="13"/>
  <c r="G428" i="13"/>
  <c r="G393" i="13"/>
  <c r="E363" i="13"/>
  <c r="G363" i="13" s="1"/>
  <c r="E365" i="13"/>
  <c r="G380" i="13"/>
  <c r="E377" i="13"/>
  <c r="G377" i="13" s="1"/>
  <c r="G378" i="13"/>
  <c r="G379" i="13"/>
  <c r="G371" i="13"/>
  <c r="G370" i="13"/>
  <c r="E311" i="13"/>
  <c r="F334" i="13"/>
  <c r="E386" i="13"/>
  <c r="G386" i="13" s="1"/>
  <c r="F307" i="13"/>
  <c r="F382" i="13"/>
  <c r="G355" i="13"/>
  <c r="G358" i="13"/>
  <c r="G359" i="13"/>
  <c r="E354" i="13"/>
  <c r="E353" i="13" s="1"/>
  <c r="D351" i="13"/>
  <c r="F351" i="13"/>
  <c r="G368" i="13"/>
  <c r="G388" i="13"/>
  <c r="D307" i="13"/>
  <c r="D382" i="13"/>
  <c r="D349" i="13"/>
  <c r="C41" i="1" s="1"/>
  <c r="G375" i="13"/>
  <c r="G369" i="13"/>
  <c r="G381" i="13"/>
  <c r="G392" i="13"/>
  <c r="G394" i="13"/>
  <c r="G387" i="13"/>
  <c r="G335" i="13"/>
  <c r="F312" i="13"/>
  <c r="D170" i="13"/>
  <c r="G331" i="13"/>
  <c r="G327" i="13"/>
  <c r="E323" i="13"/>
  <c r="E315" i="13" s="1"/>
  <c r="G330" i="13"/>
  <c r="G328" i="13"/>
  <c r="G329" i="13"/>
  <c r="G324" i="13"/>
  <c r="G325" i="13"/>
  <c r="G313" i="13"/>
  <c r="F171" i="13"/>
  <c r="G318" i="13"/>
  <c r="E338" i="13"/>
  <c r="D171" i="13"/>
  <c r="E262" i="13"/>
  <c r="G262" i="13" s="1"/>
  <c r="D334" i="13"/>
  <c r="G347" i="13"/>
  <c r="E314" i="13"/>
  <c r="G310" i="13"/>
  <c r="G345" i="13"/>
  <c r="G346" i="13"/>
  <c r="G333" i="13"/>
  <c r="G319" i="13"/>
  <c r="F249" i="13"/>
  <c r="E258" i="13"/>
  <c r="G258" i="13" s="1"/>
  <c r="D248" i="13"/>
  <c r="D245" i="13" s="1"/>
  <c r="E288" i="13"/>
  <c r="E274" i="13"/>
  <c r="G271" i="13"/>
  <c r="G254" i="13"/>
  <c r="G252" i="13"/>
  <c r="F286" i="13"/>
  <c r="G280" i="13"/>
  <c r="F190" i="13"/>
  <c r="F175" i="13" s="1"/>
  <c r="F181" i="13"/>
  <c r="F178" i="13" s="1"/>
  <c r="D270" i="13"/>
  <c r="E279" i="13"/>
  <c r="F173" i="13"/>
  <c r="D286" i="13"/>
  <c r="E181" i="13"/>
  <c r="G268" i="13"/>
  <c r="E290" i="13"/>
  <c r="G292" i="13"/>
  <c r="G299" i="13"/>
  <c r="G298" i="13"/>
  <c r="G291" i="13"/>
  <c r="G246" i="13"/>
  <c r="G269" i="13"/>
  <c r="G233" i="13"/>
  <c r="G253" i="13"/>
  <c r="G241" i="13"/>
  <c r="G275" i="13"/>
  <c r="G242" i="13"/>
  <c r="G276" i="13"/>
  <c r="G193" i="13"/>
  <c r="E177" i="13"/>
  <c r="E200" i="13"/>
  <c r="D182" i="13"/>
  <c r="D178" i="13" s="1"/>
  <c r="E201" i="13"/>
  <c r="D190" i="13"/>
  <c r="E202" i="13"/>
  <c r="G202" i="13" s="1"/>
  <c r="F99" i="13"/>
  <c r="F79" i="13" s="1"/>
  <c r="F97" i="13"/>
  <c r="E29" i="1" s="1"/>
  <c r="E211" i="13"/>
  <c r="G211" i="13" s="1"/>
  <c r="G203" i="13"/>
  <c r="F101" i="13"/>
  <c r="F81" i="13" s="1"/>
  <c r="E102" i="13"/>
  <c r="E82" i="13" s="1"/>
  <c r="D210" i="13"/>
  <c r="E212" i="13"/>
  <c r="G191" i="13"/>
  <c r="D173" i="13"/>
  <c r="E190" i="13"/>
  <c r="G216" i="13"/>
  <c r="G225" i="13"/>
  <c r="F125" i="13"/>
  <c r="E184" i="13"/>
  <c r="F210" i="13"/>
  <c r="E182" i="13"/>
  <c r="F197" i="13"/>
  <c r="D197" i="13"/>
  <c r="G198" i="13"/>
  <c r="G213" i="13"/>
  <c r="G186" i="13"/>
  <c r="E222" i="13"/>
  <c r="E170" i="13" s="1"/>
  <c r="E219" i="13"/>
  <c r="E180" i="13"/>
  <c r="G192" i="13"/>
  <c r="E214" i="13"/>
  <c r="G187" i="13"/>
  <c r="G220" i="13"/>
  <c r="G224" i="13"/>
  <c r="G194" i="13"/>
  <c r="G223" i="13"/>
  <c r="G208" i="13"/>
  <c r="E152" i="13"/>
  <c r="G152" i="13" s="1"/>
  <c r="E162" i="13"/>
  <c r="E100" i="13" s="1"/>
  <c r="D97" i="13"/>
  <c r="E151" i="13"/>
  <c r="G151" i="13" s="1"/>
  <c r="D99" i="13"/>
  <c r="D79" i="13" s="1"/>
  <c r="G164" i="13"/>
  <c r="E123" i="13"/>
  <c r="E126" i="13"/>
  <c r="G134" i="13"/>
  <c r="D150" i="13"/>
  <c r="E159" i="13"/>
  <c r="G161" i="13"/>
  <c r="G160" i="13"/>
  <c r="F150" i="13"/>
  <c r="G156" i="13"/>
  <c r="E154" i="13"/>
  <c r="G163" i="13"/>
  <c r="G155" i="13"/>
  <c r="G165" i="13"/>
  <c r="D125" i="13"/>
  <c r="D122" i="13" s="1"/>
  <c r="E136" i="13"/>
  <c r="G141" i="13"/>
  <c r="G139" i="13"/>
  <c r="G143" i="13"/>
  <c r="G144" i="13"/>
  <c r="E147" i="13"/>
  <c r="F103" i="13"/>
  <c r="F25" i="13"/>
  <c r="G131" i="13"/>
  <c r="E105" i="13"/>
  <c r="E106" i="13"/>
  <c r="E89" i="13"/>
  <c r="E108" i="13"/>
  <c r="D41" i="13"/>
  <c r="C21" i="1" s="1"/>
  <c r="E114" i="13"/>
  <c r="G109" i="13"/>
  <c r="G110" i="13"/>
  <c r="D83" i="13"/>
  <c r="C26" i="1" s="1"/>
  <c r="C27" i="1"/>
  <c r="G129" i="13"/>
  <c r="E87" i="13"/>
  <c r="E88" i="13"/>
  <c r="G88" i="13" s="1"/>
  <c r="G130" i="13"/>
  <c r="G137" i="13"/>
  <c r="G138" i="13"/>
  <c r="G111" i="13"/>
  <c r="E92" i="13"/>
  <c r="E85" i="13" s="1"/>
  <c r="D86" i="13"/>
  <c r="E29" i="13"/>
  <c r="D25" i="13"/>
  <c r="D22" i="13"/>
  <c r="F41" i="13"/>
  <c r="E21" i="1" s="1"/>
  <c r="E32" i="13"/>
  <c r="G90" i="13"/>
  <c r="E84" i="13"/>
  <c r="F86" i="13"/>
  <c r="F84" i="13"/>
  <c r="G91" i="13"/>
  <c r="E45" i="13"/>
  <c r="E48" i="13"/>
  <c r="G74" i="13"/>
  <c r="G50" i="13"/>
  <c r="E73" i="13"/>
  <c r="E33" i="13"/>
  <c r="G57" i="13"/>
  <c r="G58" i="13"/>
  <c r="E65" i="13"/>
  <c r="D46" i="13"/>
  <c r="D61" i="13"/>
  <c r="F61" i="13"/>
  <c r="G66" i="13"/>
  <c r="G67" i="13"/>
  <c r="G75" i="13"/>
  <c r="G53" i="13"/>
  <c r="E47" i="13"/>
  <c r="G52" i="13"/>
  <c r="G60" i="13"/>
  <c r="G36" i="13"/>
  <c r="D30" i="13"/>
  <c r="E34" i="13"/>
  <c r="E19" i="1"/>
  <c r="F30" i="13"/>
  <c r="G39" i="13"/>
  <c r="G35" i="13"/>
  <c r="E878" i="13" l="1"/>
  <c r="G1155" i="13"/>
  <c r="F819" i="13"/>
  <c r="E72" i="1" s="1"/>
  <c r="D791" i="13"/>
  <c r="C70" i="1" s="1"/>
  <c r="D819" i="13"/>
  <c r="C72" i="1" s="1"/>
  <c r="F791" i="13"/>
  <c r="E70" i="1" s="1"/>
  <c r="E792" i="13"/>
  <c r="D71" i="1" s="1"/>
  <c r="E686" i="13"/>
  <c r="E680" i="13" s="1"/>
  <c r="E533" i="13"/>
  <c r="F302" i="13"/>
  <c r="F303" i="13"/>
  <c r="E364" i="13"/>
  <c r="G364" i="13" s="1"/>
  <c r="E373" i="13"/>
  <c r="E350" i="13" s="1"/>
  <c r="G323" i="13"/>
  <c r="E322" i="13"/>
  <c r="E308" i="13" s="1"/>
  <c r="F245" i="13"/>
  <c r="E229" i="13"/>
  <c r="E235" i="13"/>
  <c r="E232" i="13" s="1"/>
  <c r="E256" i="13"/>
  <c r="E227" i="13"/>
  <c r="E176" i="13"/>
  <c r="F18" i="13"/>
  <c r="F11" i="13" s="1"/>
  <c r="E133" i="13"/>
  <c r="E98" i="13" s="1"/>
  <c r="F518" i="13"/>
  <c r="D520" i="13"/>
  <c r="F520" i="13"/>
  <c r="G885" i="13"/>
  <c r="D83" i="1"/>
  <c r="E937" i="13"/>
  <c r="D79" i="1"/>
  <c r="E876" i="13"/>
  <c r="D518" i="13"/>
  <c r="F641" i="13"/>
  <c r="E62" i="1" s="1"/>
  <c r="E63" i="1"/>
  <c r="E1151" i="13"/>
  <c r="D92" i="1" s="1"/>
  <c r="E877" i="13"/>
  <c r="E516" i="13" s="1"/>
  <c r="D94" i="1"/>
  <c r="G1153" i="13"/>
  <c r="G1201" i="13"/>
  <c r="D90" i="1"/>
  <c r="G1114" i="13"/>
  <c r="D88" i="1"/>
  <c r="G1075" i="13"/>
  <c r="C86" i="1"/>
  <c r="G1024" i="13"/>
  <c r="D86" i="1"/>
  <c r="G976" i="13"/>
  <c r="G938" i="13"/>
  <c r="G962" i="13"/>
  <c r="G973" i="13"/>
  <c r="F679" i="13"/>
  <c r="F517" i="13" s="1"/>
  <c r="G863" i="13"/>
  <c r="E848" i="13"/>
  <c r="D81" i="1"/>
  <c r="G922" i="13"/>
  <c r="G856" i="13"/>
  <c r="G888" i="13"/>
  <c r="G923" i="13"/>
  <c r="E921" i="13"/>
  <c r="D80" i="1" s="1"/>
  <c r="G905" i="13"/>
  <c r="D679" i="13"/>
  <c r="D517" i="13" s="1"/>
  <c r="E67" i="1"/>
  <c r="F677" i="13"/>
  <c r="C67" i="1"/>
  <c r="D677" i="13"/>
  <c r="G846" i="13"/>
  <c r="G854" i="13"/>
  <c r="G687" i="13"/>
  <c r="E681" i="13"/>
  <c r="E882" i="13"/>
  <c r="D78" i="1" s="1"/>
  <c r="G883" i="13"/>
  <c r="F875" i="13"/>
  <c r="G855" i="13"/>
  <c r="G824" i="13"/>
  <c r="G802" i="13"/>
  <c r="E851" i="13"/>
  <c r="E794" i="13"/>
  <c r="G826" i="13"/>
  <c r="G822" i="13"/>
  <c r="G829" i="13"/>
  <c r="D73" i="1"/>
  <c r="E825" i="13"/>
  <c r="G827" i="13"/>
  <c r="G752" i="13"/>
  <c r="G808" i="13"/>
  <c r="G779" i="13"/>
  <c r="G799" i="13"/>
  <c r="E744" i="13"/>
  <c r="G766" i="13"/>
  <c r="G781" i="13"/>
  <c r="G758" i="13"/>
  <c r="E742" i="13"/>
  <c r="D69" i="1" s="1"/>
  <c r="G798" i="13"/>
  <c r="E797" i="13"/>
  <c r="G784" i="13"/>
  <c r="G720" i="13"/>
  <c r="D741" i="13"/>
  <c r="C68" i="1" s="1"/>
  <c r="F741" i="13"/>
  <c r="E68" i="1" s="1"/>
  <c r="G748" i="13"/>
  <c r="G749" i="13"/>
  <c r="G765" i="13"/>
  <c r="G780" i="13"/>
  <c r="G787" i="13"/>
  <c r="G768" i="13"/>
  <c r="E777" i="13"/>
  <c r="G778" i="13"/>
  <c r="G767" i="13"/>
  <c r="E764" i="13"/>
  <c r="G693" i="13"/>
  <c r="E683" i="13"/>
  <c r="E685" i="13"/>
  <c r="D641" i="13"/>
  <c r="G709" i="13"/>
  <c r="G708" i="13"/>
  <c r="G716" i="13"/>
  <c r="G691" i="13"/>
  <c r="G667" i="13"/>
  <c r="G737" i="13"/>
  <c r="G659" i="13"/>
  <c r="G688" i="13"/>
  <c r="G734" i="13"/>
  <c r="G646" i="13"/>
  <c r="G666" i="13"/>
  <c r="G689" i="13"/>
  <c r="D603" i="13"/>
  <c r="G650" i="13"/>
  <c r="C57" i="1"/>
  <c r="D522" i="13"/>
  <c r="G706" i="13"/>
  <c r="E57" i="1"/>
  <c r="F522" i="13"/>
  <c r="E526" i="13"/>
  <c r="D682" i="13"/>
  <c r="C66" i="1" s="1"/>
  <c r="G652" i="13"/>
  <c r="E642" i="13"/>
  <c r="D63" i="1" s="1"/>
  <c r="G727" i="13"/>
  <c r="E725" i="13"/>
  <c r="G726" i="13"/>
  <c r="G707" i="13"/>
  <c r="E705" i="13"/>
  <c r="G690" i="13"/>
  <c r="G699" i="13"/>
  <c r="G668" i="13"/>
  <c r="G645" i="13"/>
  <c r="G617" i="13"/>
  <c r="F603" i="13"/>
  <c r="E60" i="1" s="1"/>
  <c r="E607" i="13"/>
  <c r="G648" i="13"/>
  <c r="E647" i="13"/>
  <c r="E664" i="13"/>
  <c r="G569" i="13"/>
  <c r="G594" i="13"/>
  <c r="G574" i="13"/>
  <c r="E570" i="13"/>
  <c r="G634" i="13"/>
  <c r="G615" i="13"/>
  <c r="G627" i="13"/>
  <c r="G586" i="13"/>
  <c r="E565" i="13"/>
  <c r="D59" i="1" s="1"/>
  <c r="G582" i="13"/>
  <c r="G595" i="13"/>
  <c r="G608" i="13"/>
  <c r="E631" i="13"/>
  <c r="G632" i="13"/>
  <c r="E613" i="13"/>
  <c r="G614" i="13"/>
  <c r="E530" i="13"/>
  <c r="E524" i="13" s="1"/>
  <c r="G560" i="13"/>
  <c r="D564" i="13"/>
  <c r="D527" i="13"/>
  <c r="C56" i="1" s="1"/>
  <c r="E591" i="13"/>
  <c r="G531" i="13"/>
  <c r="F17" i="13"/>
  <c r="G536" i="13"/>
  <c r="G592" i="13"/>
  <c r="G475" i="13"/>
  <c r="G538" i="13"/>
  <c r="E528" i="13"/>
  <c r="G557" i="13"/>
  <c r="D17" i="13"/>
  <c r="G593" i="13"/>
  <c r="G572" i="13"/>
  <c r="G575" i="13"/>
  <c r="G568" i="13"/>
  <c r="G571" i="13"/>
  <c r="F564" i="13"/>
  <c r="E58" i="1" s="1"/>
  <c r="G552" i="13"/>
  <c r="G535" i="13"/>
  <c r="G489" i="13"/>
  <c r="E472" i="13"/>
  <c r="G554" i="13"/>
  <c r="D303" i="13"/>
  <c r="E479" i="13"/>
  <c r="G553" i="13"/>
  <c r="D302" i="13"/>
  <c r="D15" i="13" s="1"/>
  <c r="D8" i="13" s="1"/>
  <c r="G544" i="13"/>
  <c r="D19" i="13"/>
  <c r="E305" i="13"/>
  <c r="G305" i="13" s="1"/>
  <c r="F19" i="13"/>
  <c r="C39" i="1"/>
  <c r="D301" i="13"/>
  <c r="E39" i="1"/>
  <c r="F301" i="13"/>
  <c r="E550" i="13"/>
  <c r="G551" i="13"/>
  <c r="G532" i="13"/>
  <c r="G534" i="13"/>
  <c r="G474" i="13"/>
  <c r="E471" i="13"/>
  <c r="D47" i="1" s="1"/>
  <c r="G481" i="13"/>
  <c r="G511" i="13"/>
  <c r="G503" i="13"/>
  <c r="G482" i="13"/>
  <c r="D470" i="13"/>
  <c r="C46" i="1" s="1"/>
  <c r="G501" i="13"/>
  <c r="G500" i="13"/>
  <c r="E499" i="13"/>
  <c r="G502" i="13"/>
  <c r="F429" i="13"/>
  <c r="E44" i="1" s="1"/>
  <c r="G477" i="13"/>
  <c r="G478" i="13"/>
  <c r="F470" i="13"/>
  <c r="E46" i="1" s="1"/>
  <c r="G495" i="13"/>
  <c r="E473" i="13"/>
  <c r="G438" i="13"/>
  <c r="G436" i="13"/>
  <c r="G441" i="13"/>
  <c r="E430" i="13"/>
  <c r="D45" i="1" s="1"/>
  <c r="E439" i="13"/>
  <c r="D395" i="13"/>
  <c r="C42" i="1" s="1"/>
  <c r="G466" i="13"/>
  <c r="G457" i="13"/>
  <c r="G437" i="13"/>
  <c r="F395" i="13"/>
  <c r="E42" i="1" s="1"/>
  <c r="G451" i="13"/>
  <c r="D429" i="13"/>
  <c r="C44" i="1" s="1"/>
  <c r="G434" i="13"/>
  <c r="G455" i="13"/>
  <c r="E447" i="13"/>
  <c r="G463" i="13"/>
  <c r="G458" i="13"/>
  <c r="G417" i="13"/>
  <c r="E454" i="13"/>
  <c r="G405" i="13"/>
  <c r="E396" i="13"/>
  <c r="D43" i="1" s="1"/>
  <c r="G456" i="13"/>
  <c r="E398" i="13"/>
  <c r="E416" i="13"/>
  <c r="G416" i="13" s="1"/>
  <c r="G425" i="13"/>
  <c r="E351" i="13"/>
  <c r="G402" i="13"/>
  <c r="G418" i="13"/>
  <c r="G404" i="13"/>
  <c r="G367" i="13"/>
  <c r="E349" i="13"/>
  <c r="D41" i="1" s="1"/>
  <c r="E400" i="13"/>
  <c r="G401" i="13"/>
  <c r="G411" i="13"/>
  <c r="D400" i="13"/>
  <c r="G403" i="13"/>
  <c r="G365" i="13"/>
  <c r="G311" i="13"/>
  <c r="G366" i="13"/>
  <c r="D348" i="13"/>
  <c r="C40" i="1" s="1"/>
  <c r="G357" i="13"/>
  <c r="G383" i="13"/>
  <c r="G362" i="13"/>
  <c r="G391" i="13"/>
  <c r="E382" i="13"/>
  <c r="G382" i="13" s="1"/>
  <c r="G352" i="13"/>
  <c r="G354" i="13"/>
  <c r="D306" i="13"/>
  <c r="C38" i="1" s="1"/>
  <c r="E307" i="13"/>
  <c r="G374" i="13"/>
  <c r="G385" i="13"/>
  <c r="F169" i="13"/>
  <c r="G338" i="13"/>
  <c r="E249" i="13"/>
  <c r="G249" i="13" s="1"/>
  <c r="G316" i="13"/>
  <c r="E171" i="13"/>
  <c r="D167" i="13"/>
  <c r="G337" i="13"/>
  <c r="E33" i="1"/>
  <c r="F167" i="13"/>
  <c r="G314" i="13"/>
  <c r="G336" i="13"/>
  <c r="F306" i="13"/>
  <c r="E38" i="1" s="1"/>
  <c r="G317" i="13"/>
  <c r="E334" i="13"/>
  <c r="E248" i="13"/>
  <c r="G243" i="13"/>
  <c r="D226" i="13"/>
  <c r="C34" i="1" s="1"/>
  <c r="G274" i="13"/>
  <c r="G289" i="13"/>
  <c r="G247" i="13"/>
  <c r="G251" i="13"/>
  <c r="G234" i="13"/>
  <c r="E270" i="13"/>
  <c r="G288" i="13"/>
  <c r="G265" i="13"/>
  <c r="G297" i="13"/>
  <c r="C33" i="1"/>
  <c r="G181" i="13"/>
  <c r="G290" i="13"/>
  <c r="G279" i="13"/>
  <c r="G250" i="13"/>
  <c r="E286" i="13"/>
  <c r="G287" i="13"/>
  <c r="G272" i="13"/>
  <c r="G231" i="13"/>
  <c r="E175" i="13"/>
  <c r="D175" i="13"/>
  <c r="D169" i="13" s="1"/>
  <c r="G184" i="13"/>
  <c r="E173" i="13"/>
  <c r="G222" i="13"/>
  <c r="E99" i="13"/>
  <c r="E79" i="13" s="1"/>
  <c r="G200" i="13"/>
  <c r="F172" i="13"/>
  <c r="E32" i="1" s="1"/>
  <c r="E27" i="1"/>
  <c r="F77" i="13"/>
  <c r="F96" i="13"/>
  <c r="E28" i="1" s="1"/>
  <c r="F78" i="13"/>
  <c r="D27" i="1"/>
  <c r="G201" i="13"/>
  <c r="G177" i="13"/>
  <c r="G190" i="13"/>
  <c r="E210" i="13"/>
  <c r="G199" i="13"/>
  <c r="G212" i="13"/>
  <c r="E80" i="13"/>
  <c r="D96" i="13"/>
  <c r="C28" i="1" s="1"/>
  <c r="C29" i="1"/>
  <c r="E97" i="13"/>
  <c r="E77" i="13" s="1"/>
  <c r="G182" i="13"/>
  <c r="D77" i="13"/>
  <c r="D76" i="13" s="1"/>
  <c r="G214" i="13"/>
  <c r="G180" i="13"/>
  <c r="G219" i="13"/>
  <c r="E197" i="13"/>
  <c r="G205" i="13"/>
  <c r="G105" i="13"/>
  <c r="G126" i="13"/>
  <c r="E146" i="13"/>
  <c r="E120" i="13"/>
  <c r="G89" i="13"/>
  <c r="G159" i="13"/>
  <c r="G153" i="13"/>
  <c r="G154" i="13"/>
  <c r="G162" i="13"/>
  <c r="E150" i="13"/>
  <c r="G147" i="13"/>
  <c r="E125" i="13"/>
  <c r="G127" i="13"/>
  <c r="G121" i="13"/>
  <c r="G114" i="13"/>
  <c r="G128" i="13"/>
  <c r="G123" i="13"/>
  <c r="G136" i="13"/>
  <c r="G108" i="13"/>
  <c r="G104" i="13"/>
  <c r="G92" i="13"/>
  <c r="G106" i="13"/>
  <c r="G124" i="13"/>
  <c r="F122" i="13"/>
  <c r="G48" i="13"/>
  <c r="D40" i="13"/>
  <c r="C20" i="1" s="1"/>
  <c r="E17" i="1"/>
  <c r="G34" i="13"/>
  <c r="E27" i="13"/>
  <c r="D19" i="1" s="1"/>
  <c r="G85" i="13"/>
  <c r="E25" i="13"/>
  <c r="F21" i="13"/>
  <c r="G84" i="13"/>
  <c r="F83" i="13"/>
  <c r="E26" i="1" s="1"/>
  <c r="G87" i="13"/>
  <c r="E86" i="13"/>
  <c r="E83" i="13"/>
  <c r="C19" i="1"/>
  <c r="D21" i="13"/>
  <c r="F49" i="13"/>
  <c r="F46" i="13" s="1"/>
  <c r="E44" i="13"/>
  <c r="E24" i="13" s="1"/>
  <c r="E41" i="13"/>
  <c r="G64" i="13"/>
  <c r="G73" i="13"/>
  <c r="E30" i="13"/>
  <c r="G63" i="13"/>
  <c r="G65" i="13"/>
  <c r="G56" i="13"/>
  <c r="G51" i="13"/>
  <c r="E61" i="13"/>
  <c r="G62" i="13"/>
  <c r="D26" i="13"/>
  <c r="C18" i="1" s="1"/>
  <c r="G45" i="13"/>
  <c r="G47" i="13"/>
  <c r="G31" i="13"/>
  <c r="G29" i="13"/>
  <c r="G32" i="13"/>
  <c r="G33" i="13"/>
  <c r="F26" i="13"/>
  <c r="E18" i="1" s="1"/>
  <c r="F16" i="13" l="1"/>
  <c r="F9" i="13" s="1"/>
  <c r="E361" i="13"/>
  <c r="G361" i="13" s="1"/>
  <c r="G322" i="13"/>
  <c r="G235" i="13"/>
  <c r="G133" i="13"/>
  <c r="C58" i="1"/>
  <c r="C60" i="1"/>
  <c r="C62" i="1"/>
  <c r="D12" i="13"/>
  <c r="F10" i="13"/>
  <c r="G1151" i="13"/>
  <c r="F12" i="13"/>
  <c r="D515" i="13"/>
  <c r="D514" i="13" s="1"/>
  <c r="D10" i="13"/>
  <c r="E520" i="13"/>
  <c r="F515" i="13"/>
  <c r="F514" i="13" s="1"/>
  <c r="G879" i="13"/>
  <c r="G878" i="13"/>
  <c r="G877" i="13"/>
  <c r="D82" i="1"/>
  <c r="G970" i="13"/>
  <c r="E845" i="13"/>
  <c r="G845" i="13" s="1"/>
  <c r="G848" i="13"/>
  <c r="G937" i="13"/>
  <c r="G921" i="13"/>
  <c r="G686" i="13"/>
  <c r="E679" i="13"/>
  <c r="E517" i="13" s="1"/>
  <c r="D67" i="1"/>
  <c r="E677" i="13"/>
  <c r="E875" i="13"/>
  <c r="G876" i="13"/>
  <c r="G882" i="13"/>
  <c r="G851" i="13"/>
  <c r="E819" i="13"/>
  <c r="D72" i="1" s="1"/>
  <c r="G820" i="13"/>
  <c r="G825" i="13"/>
  <c r="G744" i="13"/>
  <c r="D676" i="13"/>
  <c r="F676" i="13"/>
  <c r="G794" i="13"/>
  <c r="G797" i="13"/>
  <c r="E791" i="13"/>
  <c r="D70" i="1" s="1"/>
  <c r="G792" i="13"/>
  <c r="G747" i="13"/>
  <c r="G745" i="13"/>
  <c r="G681" i="13"/>
  <c r="E741" i="13"/>
  <c r="D68" i="1" s="1"/>
  <c r="G742" i="13"/>
  <c r="G764" i="13"/>
  <c r="G777" i="13"/>
  <c r="E525" i="13"/>
  <c r="G725" i="13"/>
  <c r="G685" i="13"/>
  <c r="G705" i="13"/>
  <c r="G683" i="13"/>
  <c r="E641" i="13"/>
  <c r="D62" i="1" s="1"/>
  <c r="G642" i="13"/>
  <c r="G664" i="13"/>
  <c r="G647" i="13"/>
  <c r="G607" i="13"/>
  <c r="G530" i="13"/>
  <c r="G613" i="13"/>
  <c r="G631" i="13"/>
  <c r="G567" i="13"/>
  <c r="E564" i="13"/>
  <c r="G591" i="13"/>
  <c r="D521" i="13"/>
  <c r="F14" i="13"/>
  <c r="G565" i="13"/>
  <c r="D57" i="1"/>
  <c r="G528" i="13"/>
  <c r="G570" i="13"/>
  <c r="G487" i="13"/>
  <c r="D300" i="13"/>
  <c r="D16" i="13"/>
  <c r="D9" i="13" s="1"/>
  <c r="G479" i="13"/>
  <c r="E304" i="13"/>
  <c r="E476" i="13"/>
  <c r="F15" i="13"/>
  <c r="F8" i="13" s="1"/>
  <c r="D39" i="1"/>
  <c r="E301" i="13"/>
  <c r="G25" i="13"/>
  <c r="E19" i="13"/>
  <c r="D20" i="13"/>
  <c r="D14" i="13"/>
  <c r="G351" i="13"/>
  <c r="G550" i="13"/>
  <c r="G533" i="13"/>
  <c r="G526" i="13"/>
  <c r="G472" i="13"/>
  <c r="G471" i="13"/>
  <c r="G499" i="13"/>
  <c r="G480" i="13"/>
  <c r="G492" i="13"/>
  <c r="E432" i="13"/>
  <c r="E429" i="13" s="1"/>
  <c r="D44" i="1" s="1"/>
  <c r="E435" i="13"/>
  <c r="G435" i="13" s="1"/>
  <c r="G433" i="13"/>
  <c r="G439" i="13"/>
  <c r="G447" i="13"/>
  <c r="G454" i="13"/>
  <c r="G430" i="13"/>
  <c r="G398" i="13"/>
  <c r="G373" i="13"/>
  <c r="G349" i="13"/>
  <c r="E395" i="13"/>
  <c r="D42" i="1" s="1"/>
  <c r="G396" i="13"/>
  <c r="G400" i="13"/>
  <c r="G307" i="13"/>
  <c r="G315" i="13"/>
  <c r="G353" i="13"/>
  <c r="F348" i="13"/>
  <c r="E40" i="1" s="1"/>
  <c r="E312" i="13"/>
  <c r="G248" i="13"/>
  <c r="E245" i="13"/>
  <c r="D166" i="13"/>
  <c r="G256" i="13"/>
  <c r="E228" i="13"/>
  <c r="E168" i="13" s="1"/>
  <c r="D33" i="1"/>
  <c r="E167" i="13"/>
  <c r="G334" i="13"/>
  <c r="D35" i="1"/>
  <c r="G232" i="13"/>
  <c r="G227" i="13"/>
  <c r="G230" i="13"/>
  <c r="G229" i="13"/>
  <c r="G240" i="13"/>
  <c r="F166" i="13"/>
  <c r="G286" i="13"/>
  <c r="F226" i="13"/>
  <c r="E34" i="1" s="1"/>
  <c r="D172" i="13"/>
  <c r="C32" i="1" s="1"/>
  <c r="G79" i="13"/>
  <c r="G176" i="13"/>
  <c r="E78" i="13"/>
  <c r="G98" i="13"/>
  <c r="G210" i="13"/>
  <c r="G100" i="13"/>
  <c r="E101" i="13"/>
  <c r="D29" i="1"/>
  <c r="E172" i="13"/>
  <c r="D32" i="1" s="1"/>
  <c r="G173" i="13"/>
  <c r="G175" i="13"/>
  <c r="G197" i="13"/>
  <c r="E178" i="13"/>
  <c r="E103" i="13"/>
  <c r="G146" i="13"/>
  <c r="G97" i="13"/>
  <c r="G120" i="13"/>
  <c r="G99" i="13"/>
  <c r="G102" i="13"/>
  <c r="G150" i="13"/>
  <c r="D26" i="1"/>
  <c r="G125" i="13"/>
  <c r="E122" i="13"/>
  <c r="G24" i="13"/>
  <c r="C17" i="1"/>
  <c r="G30" i="13"/>
  <c r="E22" i="13"/>
  <c r="D21" i="1"/>
  <c r="D17" i="1" s="1"/>
  <c r="C16" i="1"/>
  <c r="E21" i="13"/>
  <c r="G82" i="13"/>
  <c r="G86" i="13"/>
  <c r="G83" i="13"/>
  <c r="F76" i="13"/>
  <c r="G44" i="13"/>
  <c r="G41" i="13"/>
  <c r="E40" i="13"/>
  <c r="G42" i="13"/>
  <c r="F40" i="13"/>
  <c r="E20" i="1" s="1"/>
  <c r="E16" i="1" s="1"/>
  <c r="E49" i="13"/>
  <c r="G55" i="13"/>
  <c r="G61" i="13"/>
  <c r="G27" i="13"/>
  <c r="G19" i="1"/>
  <c r="F20" i="13"/>
  <c r="E26" i="13"/>
  <c r="E303" i="13" l="1"/>
  <c r="D7" i="13"/>
  <c r="D6" i="13" s="1"/>
  <c r="E518" i="13"/>
  <c r="F7" i="13"/>
  <c r="E12" i="13"/>
  <c r="G12" i="13" s="1"/>
  <c r="D74" i="1"/>
  <c r="G875" i="13"/>
  <c r="G819" i="13"/>
  <c r="G791" i="13"/>
  <c r="G741" i="13"/>
  <c r="G680" i="13"/>
  <c r="G524" i="13"/>
  <c r="G525" i="13"/>
  <c r="G677" i="13"/>
  <c r="G679" i="13"/>
  <c r="G641" i="13"/>
  <c r="D58" i="1"/>
  <c r="G564" i="13"/>
  <c r="E17" i="13"/>
  <c r="G304" i="13"/>
  <c r="G21" i="13"/>
  <c r="E14" i="13"/>
  <c r="E306" i="13"/>
  <c r="E302" i="13"/>
  <c r="G520" i="13"/>
  <c r="G476" i="13"/>
  <c r="G473" i="13"/>
  <c r="E470" i="13"/>
  <c r="D46" i="1" s="1"/>
  <c r="G432" i="13"/>
  <c r="G429" i="13"/>
  <c r="G245" i="13"/>
  <c r="G395" i="13"/>
  <c r="G350" i="13"/>
  <c r="E348" i="13"/>
  <c r="G308" i="13"/>
  <c r="G312" i="13"/>
  <c r="G228" i="13"/>
  <c r="E226" i="13"/>
  <c r="E169" i="13"/>
  <c r="F300" i="13"/>
  <c r="G301" i="13"/>
  <c r="G103" i="13"/>
  <c r="E96" i="13"/>
  <c r="D28" i="1" s="1"/>
  <c r="E81" i="13"/>
  <c r="G81" i="13" s="1"/>
  <c r="G77" i="13"/>
  <c r="G101" i="13"/>
  <c r="G172" i="13"/>
  <c r="G168" i="13"/>
  <c r="G178" i="13"/>
  <c r="G167" i="13"/>
  <c r="G171" i="13"/>
  <c r="G78" i="13"/>
  <c r="G80" i="13"/>
  <c r="G122" i="13"/>
  <c r="G40" i="13"/>
  <c r="G22" i="13"/>
  <c r="D20" i="1"/>
  <c r="D13" i="13"/>
  <c r="G49" i="13"/>
  <c r="E46" i="13"/>
  <c r="G19" i="13"/>
  <c r="D18" i="1"/>
  <c r="G26" i="13"/>
  <c r="E20" i="13"/>
  <c r="G20" i="13" s="1"/>
  <c r="F13" i="13"/>
  <c r="E16" i="13" l="1"/>
  <c r="E9" i="13" s="1"/>
  <c r="G14" i="13"/>
  <c r="G517" i="13"/>
  <c r="G17" i="13"/>
  <c r="E10" i="13"/>
  <c r="G518" i="13"/>
  <c r="G516" i="13"/>
  <c r="G306" i="13"/>
  <c r="D38" i="1"/>
  <c r="G302" i="13"/>
  <c r="G303" i="13"/>
  <c r="E300" i="13"/>
  <c r="E15" i="13"/>
  <c r="E18" i="13"/>
  <c r="E166" i="13"/>
  <c r="G470" i="13"/>
  <c r="D40" i="1"/>
  <c r="G348" i="13"/>
  <c r="D34" i="1"/>
  <c r="G226" i="13"/>
  <c r="G169" i="13"/>
  <c r="E76" i="13"/>
  <c r="G96" i="13"/>
  <c r="G170" i="13"/>
  <c r="D16" i="1"/>
  <c r="G46" i="13"/>
  <c r="G18" i="1"/>
  <c r="F6" i="13"/>
  <c r="E11" i="13" l="1"/>
  <c r="G18" i="13"/>
  <c r="G15" i="13"/>
  <c r="E8" i="13"/>
  <c r="G10" i="13"/>
  <c r="G300" i="13"/>
  <c r="E13" i="13"/>
  <c r="G16" i="13"/>
  <c r="G166" i="13"/>
  <c r="G76" i="13"/>
  <c r="F115" i="1"/>
  <c r="F114" i="1"/>
  <c r="F105" i="1"/>
  <c r="F97" i="1"/>
  <c r="F95" i="1"/>
  <c r="F94" i="1"/>
  <c r="F76" i="1" s="1"/>
  <c r="F81" i="1"/>
  <c r="F65" i="1"/>
  <c r="F64" i="1"/>
  <c r="F55" i="1"/>
  <c r="F54" i="1"/>
  <c r="F37" i="1"/>
  <c r="F36" i="1"/>
  <c r="F31" i="1"/>
  <c r="F30" i="1"/>
  <c r="F25" i="1"/>
  <c r="F24" i="1"/>
  <c r="F11" i="1"/>
  <c r="F8" i="1"/>
  <c r="F7" i="1"/>
  <c r="F14" i="1" l="1"/>
  <c r="G8" i="13"/>
  <c r="G13" i="13"/>
  <c r="G11" i="13"/>
  <c r="G9" i="13"/>
  <c r="F77" i="1"/>
  <c r="F53" i="1" s="1"/>
  <c r="F5" i="1"/>
  <c r="F52" i="1"/>
  <c r="F15" i="1"/>
  <c r="F104" i="1" l="1"/>
  <c r="H15" i="2" l="1"/>
  <c r="E76" i="1" l="1"/>
  <c r="E65" i="1"/>
  <c r="E55" i="1"/>
  <c r="D49" i="1"/>
  <c r="D48" i="1"/>
  <c r="E37" i="1"/>
  <c r="E36" i="1"/>
  <c r="E31" i="1"/>
  <c r="E30" i="1"/>
  <c r="E25" i="1"/>
  <c r="E24" i="1"/>
  <c r="E14" i="1" l="1"/>
  <c r="D24" i="1"/>
  <c r="E77" i="1"/>
  <c r="E53" i="1" s="1"/>
  <c r="D25" i="1"/>
  <c r="D31" i="1"/>
  <c r="D65" i="1"/>
  <c r="D37" i="1"/>
  <c r="D36" i="1"/>
  <c r="D30" i="1"/>
  <c r="D76" i="1"/>
  <c r="D77" i="1"/>
  <c r="D14" i="1" l="1"/>
  <c r="G4" i="2" l="1"/>
  <c r="C4" i="2" l="1"/>
  <c r="D11" i="1" l="1"/>
  <c r="D10" i="1"/>
  <c r="D9" i="1"/>
  <c r="D8" i="1"/>
  <c r="D7" i="1"/>
  <c r="G81" i="1" l="1"/>
  <c r="G80" i="1"/>
  <c r="C37" i="1"/>
  <c r="C36" i="1"/>
  <c r="C31" i="1"/>
  <c r="C30" i="1"/>
  <c r="G29" i="1" l="1"/>
  <c r="G28" i="1"/>
  <c r="G27" i="1"/>
  <c r="G26" i="1"/>
  <c r="G35" i="1"/>
  <c r="G34" i="1"/>
  <c r="G33" i="1"/>
  <c r="G32" i="1"/>
  <c r="G41" i="1"/>
  <c r="G40" i="1"/>
  <c r="G89" i="1"/>
  <c r="G30" i="1" l="1"/>
  <c r="G31" i="1"/>
  <c r="C77" i="1"/>
  <c r="C76" i="1"/>
  <c r="C65" i="1"/>
  <c r="C64" i="1"/>
  <c r="G67" i="1"/>
  <c r="G47" i="1"/>
  <c r="G88" i="1" l="1"/>
  <c r="G51" i="1"/>
  <c r="G50" i="1"/>
  <c r="G25" i="1"/>
  <c r="G24" i="1"/>
  <c r="C25" i="1"/>
  <c r="C24" i="1"/>
  <c r="C14" i="1" l="1"/>
  <c r="G49" i="1"/>
  <c r="G48" i="1"/>
  <c r="G46" i="1"/>
  <c r="G39" i="1"/>
  <c r="G38" i="1"/>
  <c r="E16" i="2" l="1"/>
  <c r="E13" i="2"/>
  <c r="G99" i="1" l="1"/>
  <c r="G98" i="1"/>
  <c r="G97" i="1"/>
  <c r="G96" i="1"/>
  <c r="G95" i="1"/>
  <c r="G94" i="1"/>
  <c r="G93" i="1"/>
  <c r="G92" i="1"/>
  <c r="G91" i="1"/>
  <c r="G90" i="1"/>
  <c r="G87" i="1"/>
  <c r="G86" i="1"/>
  <c r="G85" i="1"/>
  <c r="G84" i="1"/>
  <c r="G83" i="1"/>
  <c r="G82" i="1"/>
  <c r="G79" i="1"/>
  <c r="G78" i="1"/>
  <c r="G75" i="1"/>
  <c r="G74" i="1"/>
  <c r="G73" i="1"/>
  <c r="G72" i="1"/>
  <c r="G71" i="1"/>
  <c r="G70" i="1"/>
  <c r="G69" i="1"/>
  <c r="G68" i="1"/>
  <c r="G63" i="1"/>
  <c r="G62" i="1"/>
  <c r="G59" i="1"/>
  <c r="G58" i="1"/>
  <c r="G57" i="1"/>
  <c r="G45" i="1"/>
  <c r="G44" i="1"/>
  <c r="G43" i="1"/>
  <c r="G42" i="1"/>
  <c r="G23" i="1"/>
  <c r="G22" i="1"/>
  <c r="G21" i="1"/>
  <c r="G20" i="1"/>
  <c r="D6" i="1"/>
  <c r="D20" i="2"/>
  <c r="D18" i="2"/>
  <c r="E18" i="2" s="1"/>
  <c r="D17" i="2"/>
  <c r="E17" i="2" s="1"/>
  <c r="E14" i="2"/>
  <c r="D12" i="2"/>
  <c r="E12" i="2" s="1"/>
  <c r="D11" i="2"/>
  <c r="E11" i="2" s="1"/>
  <c r="D10" i="2"/>
  <c r="E10" i="2" s="1"/>
  <c r="D9" i="2"/>
  <c r="E9" i="2" s="1"/>
  <c r="E8" i="2"/>
  <c r="D7" i="2"/>
  <c r="D6" i="2"/>
  <c r="E6" i="2" s="1"/>
  <c r="H20" i="2"/>
  <c r="I20" i="2" s="1"/>
  <c r="H18" i="2"/>
  <c r="G16" i="1" l="1"/>
  <c r="G17" i="1"/>
  <c r="G37" i="1"/>
  <c r="G36" i="1"/>
  <c r="E20" i="2"/>
  <c r="D19" i="2"/>
  <c r="E19" i="2" s="1"/>
  <c r="G76" i="1"/>
  <c r="G77" i="1"/>
  <c r="G65" i="1"/>
  <c r="G8" i="1"/>
  <c r="G9" i="1"/>
  <c r="G10" i="1"/>
  <c r="G11" i="1"/>
  <c r="G6" i="1"/>
  <c r="G7" i="1"/>
  <c r="I18" i="2"/>
  <c r="C55" i="1"/>
  <c r="C54" i="1"/>
  <c r="D15" i="1"/>
  <c r="C15" i="1"/>
  <c r="G14" i="1" l="1"/>
  <c r="E15" i="1"/>
  <c r="G15" i="1"/>
  <c r="H19" i="2"/>
  <c r="C53" i="1"/>
  <c r="C52" i="1"/>
  <c r="E5" i="1"/>
  <c r="D5" i="1"/>
  <c r="C5" i="1"/>
  <c r="G5" i="1"/>
  <c r="H11" i="2"/>
  <c r="I11" i="2" s="1"/>
  <c r="H10" i="2"/>
  <c r="I10" i="2" s="1"/>
  <c r="H7" i="2"/>
  <c r="H8" i="2" l="1"/>
  <c r="I8" i="2" s="1"/>
  <c r="H9" i="2"/>
  <c r="I9" i="2" s="1"/>
  <c r="H12" i="2"/>
  <c r="I12" i="2" s="1"/>
  <c r="C6" i="4" l="1"/>
  <c r="I19" i="2" l="1"/>
  <c r="H6" i="2" l="1"/>
  <c r="I6" i="2" s="1"/>
  <c r="B6" i="4" l="1"/>
  <c r="B19" i="4" l="1"/>
  <c r="H17" i="2" l="1"/>
  <c r="I17" i="2" s="1"/>
  <c r="I14" i="2"/>
  <c r="E7" i="2"/>
  <c r="I16" i="2"/>
  <c r="I13" i="2"/>
  <c r="E104" i="1"/>
  <c r="H4" i="2" l="1"/>
  <c r="B20" i="4"/>
  <c r="B21" i="4" s="1"/>
  <c r="C19" i="4" l="1"/>
  <c r="I7" i="2"/>
  <c r="I15" i="2" l="1"/>
  <c r="I4" i="2" l="1"/>
  <c r="G195" i="13" l="1"/>
  <c r="F273" i="13"/>
  <c r="G273" i="13" s="1"/>
  <c r="G277" i="13"/>
  <c r="F270" i="13" l="1"/>
  <c r="G270" i="13" s="1"/>
  <c r="F521" i="13"/>
  <c r="E527" i="13"/>
  <c r="D56" i="1" s="1"/>
  <c r="G529" i="13" l="1"/>
  <c r="F527" i="13"/>
  <c r="G527" i="13" s="1"/>
  <c r="E56" i="1" l="1"/>
  <c r="G56" i="1" l="1"/>
  <c r="E54" i="1"/>
  <c r="E610" i="13" l="1"/>
  <c r="E609" i="13" s="1"/>
  <c r="G609" i="13" s="1"/>
  <c r="E611" i="13"/>
  <c r="G611" i="13" s="1"/>
  <c r="G612" i="13"/>
  <c r="G610" i="13" l="1"/>
  <c r="E604" i="13"/>
  <c r="E603" i="13" s="1"/>
  <c r="G603" i="13" s="1"/>
  <c r="D61" i="1" l="1"/>
  <c r="E522" i="13"/>
  <c r="E515" i="13" s="1"/>
  <c r="D60" i="1"/>
  <c r="G604" i="13"/>
  <c r="D55" i="1" l="1"/>
  <c r="G61" i="1"/>
  <c r="G522" i="13"/>
  <c r="D54" i="1"/>
  <c r="E521" i="13"/>
  <c r="G521" i="13" s="1"/>
  <c r="G60" i="1"/>
  <c r="G54" i="1" s="1"/>
  <c r="G515" i="13"/>
  <c r="E7" i="13"/>
  <c r="E514" i="13"/>
  <c r="G514" i="13" s="1"/>
  <c r="D53" i="1" l="1"/>
  <c r="G55" i="1"/>
  <c r="E6" i="13"/>
  <c r="G6" i="13" s="1"/>
  <c r="G7" i="13"/>
  <c r="G53" i="1" l="1"/>
  <c r="F682" i="13" l="1"/>
  <c r="E66" i="1" s="1"/>
  <c r="E64" i="1" s="1"/>
  <c r="E52" i="1" l="1"/>
  <c r="D4" i="2" l="1"/>
  <c r="E15" i="2"/>
  <c r="E4" i="2" s="1"/>
  <c r="E676" i="13" l="1"/>
  <c r="G676" i="13" s="1"/>
  <c r="E682" i="13"/>
  <c r="D66" i="1" s="1"/>
  <c r="G682" i="13" l="1"/>
  <c r="G66" i="1"/>
  <c r="D64" i="1"/>
  <c r="D52" i="1" l="1"/>
  <c r="G64" i="1"/>
  <c r="G52" i="1" l="1"/>
  <c r="C21" i="4" l="1"/>
  <c r="G1228" i="13" l="1"/>
  <c r="E1227" i="13"/>
  <c r="G1227" i="13" s="1"/>
  <c r="G1166" i="13" l="1"/>
  <c r="F1166" i="13"/>
  <c r="E1166" i="13"/>
</calcChain>
</file>

<file path=xl/sharedStrings.xml><?xml version="1.0" encoding="utf-8"?>
<sst xmlns="http://schemas.openxmlformats.org/spreadsheetml/2006/main" count="1427" uniqueCount="192">
  <si>
    <t>2025. aasta riigieelarve täitmise arunne</t>
  </si>
  <si>
    <t>eurodes</t>
  </si>
  <si>
    <t>Algne eelarve</t>
  </si>
  <si>
    <t>Lõplik eelarve</t>
  </si>
  <si>
    <t>Täitmine 2025</t>
  </si>
  <si>
    <t>Täitmine 2024</t>
  </si>
  <si>
    <t>Täitmine miinus lõplik eelarve</t>
  </si>
  <si>
    <t xml:space="preserve">SOTSIAALMINISTEERIUMI valitsemisala </t>
  </si>
  <si>
    <t xml:space="preserve">TULUD </t>
  </si>
  <si>
    <t>Riigilõivud</t>
  </si>
  <si>
    <t>Tulu majandustegevusest</t>
  </si>
  <si>
    <t>Saadud toetused</t>
  </si>
  <si>
    <t>Tulu põhivara ja varude müügist</t>
  </si>
  <si>
    <t>Trahvid ja muud varalised karistused</t>
  </si>
  <si>
    <t>Muud tulud</t>
  </si>
  <si>
    <t>KULUD</t>
  </si>
  <si>
    <t>sh piirmääraga vahendid</t>
  </si>
  <si>
    <t>Tulemusvaldkond: HEAOLU</t>
  </si>
  <si>
    <t xml:space="preserve">Tööturuprogramm </t>
  </si>
  <si>
    <t>Tööhõive toetamine ja areng</t>
  </si>
  <si>
    <t>Kvaliteetse tööelu tagamine ja areng</t>
  </si>
  <si>
    <t>Erivajadustega inimeste toimetulek ja tööalane tegevus</t>
  </si>
  <si>
    <t>Vanemaealiste programm</t>
  </si>
  <si>
    <t>Vanemaealiste heaolu ja ühiskonnaelus osalemise toetamine</t>
  </si>
  <si>
    <t>Pensionisüsteemi kujundamine ja hüvitiste maksmine</t>
  </si>
  <si>
    <t>Sotsiaalhoolekande programm</t>
  </si>
  <si>
    <t>Pikaajalise hoolduse poliitika kujundamine, KOV võimestamine</t>
  </si>
  <si>
    <t>Hoolekande kättesaadavuse tagamine ja toimetuleku toetamine</t>
  </si>
  <si>
    <t>Laste ja perede programm</t>
  </si>
  <si>
    <t>Abivajavaid lapsi ja peresid toetavad teenused</t>
  </si>
  <si>
    <t>Lapsi ja peresid toetavate meetmete arendamine ja pakkumine</t>
  </si>
  <si>
    <t>Laste ja perede ning ohvriabi valdkonna arendamine</t>
  </si>
  <si>
    <t>Teenused ohvritele ja vägivallatsejatele</t>
  </si>
  <si>
    <t>Soolise võrdsuse ja võrdse kohtlemise programm</t>
  </si>
  <si>
    <t>Soolise võrdõiguslikkuse ja võrdse kohtlemise volinik</t>
  </si>
  <si>
    <t>Tulemusvaldkond: TERVIS</t>
  </si>
  <si>
    <t>Tervist toetava keskkonna programm</t>
  </si>
  <si>
    <t>Tervist toetava ja parendava keskkonna kujundamine</t>
  </si>
  <si>
    <t>Vee, õhu, müra ja kiirgusega seotud terviseriskid</t>
  </si>
  <si>
    <t>Kemikaalide ohutus ja riskide vähendamine</t>
  </si>
  <si>
    <t>Toodete ja teenuste ohutus ning riskide vähendamine</t>
  </si>
  <si>
    <t>Tervist toetavate valikute programm</t>
  </si>
  <si>
    <t>Terviseriskide ennetamise ja tervise edendamise korraldamine</t>
  </si>
  <si>
    <t>Vaimse tervise edendamine</t>
  </si>
  <si>
    <t>Tasakaalustatud toitumise ja füüsilise aktiivsuse edendamine</t>
  </si>
  <si>
    <t>Uimastite tarvitamise ennetamine ja vähendamine</t>
  </si>
  <si>
    <t>Nakkushaiguste leviku tõkestamine (HIV, TB ja hepatiidid)</t>
  </si>
  <si>
    <t>Inimkeskse tervishoiu programm</t>
  </si>
  <si>
    <t>Inimkeskse tervishoiu valdkonna arendamine</t>
  </si>
  <si>
    <t>Inimeste terviseharitus ja põhiõiguste kaitse</t>
  </si>
  <si>
    <t>Personali võimekus, juhtimine ja vastutus</t>
  </si>
  <si>
    <t>Tervishoiuteenuste mudelite ümberkujundamine</t>
  </si>
  <si>
    <t>Tervisesüsteemi kvaliteet ja patsiendiohutus</t>
  </si>
  <si>
    <t>Tervise ebavõrdsuse vähendamine ja ravikindlustuse tagamine</t>
  </si>
  <si>
    <t>Ravimite ja meditsiiniseadmete valdkonna arendamine</t>
  </si>
  <si>
    <t>Nakkushaiguste leviku tõkestamine (vaktsineerimine, AMR)</t>
  </si>
  <si>
    <t>Käibemaks</t>
  </si>
  <si>
    <t xml:space="preserve">INVESTEERINGUD </t>
  </si>
  <si>
    <t>sh käibemaks</t>
  </si>
  <si>
    <t>FINANTSEERIMISTEHINGUD</t>
  </si>
  <si>
    <t xml:space="preserve">Osalused avaliku sektori ja sidusüksustes </t>
  </si>
  <si>
    <t>KORRIGEERIMISED</t>
  </si>
  <si>
    <t>Maksud ja sotsiaalkindlustusmaksed</t>
  </si>
  <si>
    <t>Edasiantud maksutulu, tekkepõhise ja kassapõhise kulu vahe</t>
  </si>
  <si>
    <t>Eraldistelt arvestatud intressikulu</t>
  </si>
  <si>
    <t>Saadud välistoetuste kaasrahastamine teistelt riigiasutustelt</t>
  </si>
  <si>
    <t xml:space="preserve">Teistele valitsemisaladele vahendatud välistoetused ja kaasfinantseerimine </t>
  </si>
  <si>
    <t>Teistele valitsemisaladele vahendatud välistoetused (tulu taastamine)</t>
  </si>
  <si>
    <t>Mitterahaliselt antud toetused</t>
  </si>
  <si>
    <t>Ebatõenäoliselt laekuvad nõuded (tulu taastamine)</t>
  </si>
  <si>
    <t>Ebatõenäoliselt laekuvad nõuded (kulu taastamine)</t>
  </si>
  <si>
    <t>Pensionieraldiste moodustamine</t>
  </si>
  <si>
    <t>Pensionieraldiste väljamaksed (elimineerimine kuludest)</t>
  </si>
  <si>
    <t>Kulud</t>
  </si>
  <si>
    <t>Investeeringud</t>
  </si>
  <si>
    <t>Kontroll</t>
  </si>
  <si>
    <t>saldoandmik</t>
  </si>
  <si>
    <t>2025. a riigieelarve täitmise aruande lisa</t>
  </si>
  <si>
    <t>Seaduses toodud kulude detailsem jaotus asutuste, majandusliku sisu ja liikide lõikes</t>
  </si>
  <si>
    <t>Sh piirmääraga kulud</t>
  </si>
  <si>
    <t>Sh arvestuslikud kulud</t>
  </si>
  <si>
    <t>Sh välistoetus koos riigieelarvelise kaasfinantseeringuga</t>
  </si>
  <si>
    <t>Sh muud tuludest sõltuvad kulud</t>
  </si>
  <si>
    <t>Sh edasiantavad maksud</t>
  </si>
  <si>
    <t>Sh amortisatioon</t>
  </si>
  <si>
    <t>Sh amortisatsioon</t>
  </si>
  <si>
    <t>Tööturuprogramm</t>
  </si>
  <si>
    <t>Programmi tegevus: Tööhõive toetamine ja areng</t>
  </si>
  <si>
    <t>Tervise ja Heaolu Infosüsteemide Keskus</t>
  </si>
  <si>
    <t>Tööjõukulud</t>
  </si>
  <si>
    <t>Majandamiskulud</t>
  </si>
  <si>
    <t>Muud kulud, sh amortisatsioon</t>
  </si>
  <si>
    <t>Programmi tegevus: Kvaliteetse tööelu tagamine ja areng</t>
  </si>
  <si>
    <t>Sotsiaalkindlustusamet</t>
  </si>
  <si>
    <t>Sotsiaaltoetused</t>
  </si>
  <si>
    <t>Muud kulud</t>
  </si>
  <si>
    <t xml:space="preserve">  Kahjuhüvitised seoses tööõnnetustega</t>
  </si>
  <si>
    <t xml:space="preserve">  Täiendav puhkusetasu</t>
  </si>
  <si>
    <t>Programmi tegevus: Vanemaealiste heaolu ja ühiskonnaelus osalemise toetamine</t>
  </si>
  <si>
    <t>Sotsiaalministeerium</t>
  </si>
  <si>
    <t>Muud toetused</t>
  </si>
  <si>
    <t>Programmi tegevus: Pensionisüsteemi kujundamine ja hüvitiste maksmine</t>
  </si>
  <si>
    <t xml:space="preserve">  Avalike teenistujate pendionide suurendus</t>
  </si>
  <si>
    <t xml:space="preserve">  Olümpiavõitja toetus</t>
  </si>
  <si>
    <t xml:space="preserve">  Rahvapension ja pensionilisad</t>
  </si>
  <si>
    <t xml:space="preserve">  Represseeritute toetus</t>
  </si>
  <si>
    <t xml:space="preserve">  Riikliku pensionikindlustuse vahendid</t>
  </si>
  <si>
    <t xml:space="preserve">  Üksi elava pensionäri toetus</t>
  </si>
  <si>
    <t xml:space="preserve">  Muud sotsiaaltoetused ja hüvitised</t>
  </si>
  <si>
    <t xml:space="preserve">  Erijuhtudel riigi tasutav sotsiaalmaks</t>
  </si>
  <si>
    <t>Programmi tegevus: Pikaajalise hoolduse poliitika kujundamine, KOV-de võimestamine</t>
  </si>
  <si>
    <t>Investeeringutoetused</t>
  </si>
  <si>
    <t>Programmi tegevus: Hoolekande kättesaadavuse tagamine ja toimetuleku toetamine</t>
  </si>
  <si>
    <t xml:space="preserve">  Puuetega inimeste sotsiaaltoetus</t>
  </si>
  <si>
    <t xml:space="preserve">  Abivahenditeenus</t>
  </si>
  <si>
    <t>Tervise Arengu Instituut</t>
  </si>
  <si>
    <t>Programmi tegevus: Hüvitised ja toetused lastele ja peredele</t>
  </si>
  <si>
    <t>Sotsiaaltoetusd</t>
  </si>
  <si>
    <t xml:space="preserve">  Ajateenija lapse toetus</t>
  </si>
  <si>
    <t xml:space="preserve">  Kohustusliku kogumispensioni fond</t>
  </si>
  <si>
    <t xml:space="preserve">  Peretoetused</t>
  </si>
  <si>
    <t xml:space="preserve">  Vanemahüvitis</t>
  </si>
  <si>
    <t xml:space="preserve">  Elatisabi</t>
  </si>
  <si>
    <t>Programmi tegevus: Abivajavaid lapsi ja peresid toetavad teenused</t>
  </si>
  <si>
    <t>Programmi tegevus: Lapsi ja peresid toetavate meetmete arendamine ja pakkumine</t>
  </si>
  <si>
    <t>Programmi tegevus: Laste ja perede ning ohvriabi valdkonna arendamine</t>
  </si>
  <si>
    <t>Programmi tegevus: Teenused ohvritele ja vägivallatsejatele</t>
  </si>
  <si>
    <t>Programmi tegevus: Tervist toetava ja parendava keskkonna kujundamine</t>
  </si>
  <si>
    <t>Programmi tegevus: Vee, õhu, müra ja kiirgusega seotud terviseriskid</t>
  </si>
  <si>
    <t>Terviseamet</t>
  </si>
  <si>
    <t>Programmi tegevus: Kemikaalide ohutus ja riskide vähendamine</t>
  </si>
  <si>
    <t>Programmi tegevus: Toodete ja teenuste ohutus ning riskide vähendamine</t>
  </si>
  <si>
    <t>Programmi tegevus: Terviserisikide ennetamise ja tervise edendamise korraldamine</t>
  </si>
  <si>
    <t>Programmi tegevus: Vaimse tervise edendamine</t>
  </si>
  <si>
    <t>Programmi tegevus: Tasakaalustatud toitumise ja füüsilise aktiivsuse edendamine</t>
  </si>
  <si>
    <t>Programmi tegevus: Uimastite tarvitamise ennetamine ja vähendamine</t>
  </si>
  <si>
    <t>Majanduskulud</t>
  </si>
  <si>
    <t>Programmi tegevus: Nakkushaiguste leviku tõkestamine (HIV, TB ja hepatiidid)</t>
  </si>
  <si>
    <t>Inimkeskse tervishoiu programm programm</t>
  </si>
  <si>
    <t>Programmi tegevus: Inimkeskse tervishoiu valdkonna arendamine</t>
  </si>
  <si>
    <t>Programmi tegevus: Inimeste terviseharitus ja põhiõiguste kaitse</t>
  </si>
  <si>
    <t>Programmi tegevus: Personali võimekus, juhtimine ja vastutus</t>
  </si>
  <si>
    <t xml:space="preserve">  Tervishoiutöötajate lähtetoetus</t>
  </si>
  <si>
    <t>Programmi tegevus: Tervishoiuteenuste mudelite ümberkujundamine</t>
  </si>
  <si>
    <t>Programmi tegevus: Tervisesüsteemi kvaliteet ja patsiendiohutus</t>
  </si>
  <si>
    <t>Programmi tegevus: Tervise ebavõrdsuse vähendamine ja ravikindlustuse tagamine</t>
  </si>
  <si>
    <t xml:space="preserve">  Eraldis mittetöötava pensionäri eest</t>
  </si>
  <si>
    <t>Programmi tegevus: Ravimite ja meditsiiniseadmete valdkonna arendamine</t>
  </si>
  <si>
    <t>Programmi tegevus: Ravimite, verepreparaatide ja meditsiiniseadmete kättesaadavus</t>
  </si>
  <si>
    <t>Ravimiamet</t>
  </si>
  <si>
    <t>Programmi tegevus: Nakkushaiguste leviku tõkestamine (vaktsineerimine, AMR)</t>
  </si>
  <si>
    <t xml:space="preserve">Lisa </t>
  </si>
  <si>
    <t>Eelarve täitmise ja raamatupidamisaruannete võrdlus</t>
  </si>
  <si>
    <t>Valitsemisala</t>
  </si>
  <si>
    <t>Kirje</t>
  </si>
  <si>
    <t>Raamatupidamisandmed 2024</t>
  </si>
  <si>
    <t>RE aruanne 2024</t>
  </si>
  <si>
    <t>Vahe 2024</t>
  </si>
  <si>
    <t>Selgitus</t>
  </si>
  <si>
    <t>Tulu põhivarade ja varude müügist</t>
  </si>
  <si>
    <t>Finantstulud</t>
  </si>
  <si>
    <t>Tegevuskulud, v.a käibemaksukulu</t>
  </si>
  <si>
    <t>Käibemaksukulu tegevuskuludelt</t>
  </si>
  <si>
    <t>Finantskulud</t>
  </si>
  <si>
    <t>Käibemaksukulu investeeringutelt</t>
  </si>
  <si>
    <t>3sisesed</t>
  </si>
  <si>
    <t>4,5,6sisesed</t>
  </si>
  <si>
    <t>SOM</t>
  </si>
  <si>
    <t>Lõpliku eelarve kujunemine</t>
  </si>
  <si>
    <t>Tulud</t>
  </si>
  <si>
    <t>Kulud, investeeringud</t>
  </si>
  <si>
    <t>Fin tehingud</t>
  </si>
  <si>
    <t>Esialgne eelarve</t>
  </si>
  <si>
    <t>Üle toodud eelmisest aastast</t>
  </si>
  <si>
    <t>Muudatused 18.06.2025 lisaeelarve seaduse alusel</t>
  </si>
  <si>
    <t>Muudatused 03.12.2025 teise lisaeelarve seaduse alusel</t>
  </si>
  <si>
    <t>Sihtotstarbeliste vahendite reservist</t>
  </si>
  <si>
    <t>Eelarves kavandatud toetused</t>
  </si>
  <si>
    <t>Tegelikult saadud toetused ja avatud sildfinantseerimine</t>
  </si>
  <si>
    <t>Eelarves kavandatud välistoetuste kaasrahastamine</t>
  </si>
  <si>
    <t>Tegelik välistoetuste kaasrahastamine</t>
  </si>
  <si>
    <t>Eelarves kavandatud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</si>
  <si>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</si>
  <si>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</si>
  <si>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</si>
  <si>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Kokku lõplik eelarve</t>
  </si>
  <si>
    <t xml:space="preserve">Muud toetused </t>
  </si>
  <si>
    <t>Raamatupidamisandmed 2025</t>
  </si>
  <si>
    <t>RE aruanne 2025</t>
  </si>
  <si>
    <t>Vahe 2025</t>
  </si>
  <si>
    <t>Hüvitised ja toetused lastele ning peredele</t>
  </si>
  <si>
    <t>Ravimite, verepreparaatide ja meditsiiniseadmete kättesaadavus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</si>
</sst>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10" fillId="0" borderId="0" xfId="0" applyFont="1"/>
    <xf numFmtId="3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8" fillId="0" borderId="0" xfId="0" applyFont="1"/>
    <xf numFmtId="0" fontId="12" fillId="0" borderId="0" xfId="0" applyFont="1"/>
    <xf numFmtId="3" fontId="12" fillId="0" borderId="0" xfId="0" applyNumberFormat="1" applyFont="1" applyAlignment="1">
      <alignment vertical="top"/>
    </xf>
    <xf numFmtId="3" fontId="12" fillId="0" borderId="0" xfId="0" applyNumberFormat="1" applyFont="1"/>
    <xf numFmtId="0" fontId="11" fillId="0" borderId="0" xfId="0" applyFont="1"/>
    <xf numFmtId="4" fontId="0" fillId="0" borderId="0" xfId="0" applyNumberFormat="1" applyAlignment="1">
      <alignment horizontal="right"/>
    </xf>
    <xf numFmtId="43" fontId="0" fillId="0" borderId="0" xfId="6" applyFont="1"/>
    <xf numFmtId="4" fontId="8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3" fontId="1" fillId="0" borderId="0" xfId="6" applyFont="1"/>
    <xf numFmtId="43" fontId="11" fillId="0" borderId="0" xfId="6" applyFont="1"/>
    <xf numFmtId="0" fontId="3" fillId="0" borderId="0" xfId="0" applyFont="1"/>
    <xf numFmtId="3" fontId="5" fillId="0" borderId="0" xfId="0" applyNumberFormat="1" applyFont="1"/>
    <xf numFmtId="3" fontId="2" fillId="0" borderId="0" xfId="0" applyNumberFormat="1" applyFont="1"/>
    <xf numFmtId="0" fontId="14" fillId="0" borderId="0" xfId="0" applyFont="1"/>
    <xf numFmtId="4" fontId="14" fillId="0" borderId="0" xfId="0" applyNumberFormat="1" applyFont="1"/>
    <xf numFmtId="3" fontId="0" fillId="2" borderId="0" xfId="0" applyNumberFormat="1" applyFill="1"/>
    <xf numFmtId="0" fontId="0" fillId="2" borderId="1" xfId="0" applyFill="1" applyBorder="1"/>
    <xf numFmtId="0" fontId="0" fillId="0" borderId="2" xfId="0" applyBorder="1"/>
    <xf numFmtId="3" fontId="3" fillId="0" borderId="2" xfId="0" applyNumberFormat="1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3" fontId="7" fillId="2" borderId="2" xfId="0" applyNumberFormat="1" applyFont="1" applyFill="1" applyBorder="1" applyAlignment="1">
      <alignment horizontal="right"/>
    </xf>
    <xf numFmtId="0" fontId="3" fillId="0" borderId="2" xfId="2" applyFont="1" applyBorder="1" applyAlignment="1" applyProtection="1">
      <alignment horizontal="left"/>
      <protection locked="0"/>
    </xf>
    <xf numFmtId="0" fontId="5" fillId="0" borderId="2" xfId="2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/>
      <protection locked="0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 applyAlignment="1">
      <alignment horizontal="left"/>
    </xf>
    <xf numFmtId="0" fontId="5" fillId="0" borderId="2" xfId="4" applyFont="1" applyBorder="1" applyAlignment="1" applyProtection="1">
      <alignment horizontal="center"/>
      <protection locked="0"/>
    </xf>
    <xf numFmtId="3" fontId="7" fillId="0" borderId="2" xfId="2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vertical="top"/>
      <protection locked="0"/>
    </xf>
    <xf numFmtId="3" fontId="5" fillId="0" borderId="2" xfId="2" applyNumberFormat="1" applyFont="1" applyBorder="1" applyAlignment="1" applyProtection="1">
      <alignment horizontal="right"/>
      <protection locked="0"/>
    </xf>
    <xf numFmtId="0" fontId="5" fillId="0" borderId="2" xfId="1" applyFont="1" applyBorder="1" applyAlignment="1" applyProtection="1">
      <alignment horizontal="left"/>
      <protection locked="0"/>
    </xf>
    <xf numFmtId="3" fontId="6" fillId="0" borderId="2" xfId="2" applyNumberFormat="1" applyFont="1" applyBorder="1" applyAlignment="1" applyProtection="1">
      <alignment horizontal="left"/>
      <protection locked="0"/>
    </xf>
    <xf numFmtId="3" fontId="7" fillId="0" borderId="2" xfId="2" applyNumberFormat="1" applyFont="1" applyBorder="1" applyAlignment="1" applyProtection="1">
      <alignment horizontal="center"/>
      <protection locked="0"/>
    </xf>
    <xf numFmtId="0" fontId="11" fillId="0" borderId="2" xfId="0" applyFont="1" applyBorder="1"/>
    <xf numFmtId="3" fontId="0" fillId="2" borderId="2" xfId="0" applyNumberFormat="1" applyFill="1" applyBorder="1"/>
    <xf numFmtId="3" fontId="0" fillId="0" borderId="2" xfId="0" applyNumberFormat="1" applyBorder="1"/>
    <xf numFmtId="3" fontId="11" fillId="2" borderId="2" xfId="0" applyNumberFormat="1" applyFont="1" applyFill="1" applyBorder="1"/>
    <xf numFmtId="3" fontId="11" fillId="0" borderId="2" xfId="0" applyNumberFormat="1" applyFont="1" applyBorder="1"/>
    <xf numFmtId="0" fontId="0" fillId="2" borderId="2" xfId="0" applyFill="1" applyBorder="1"/>
    <xf numFmtId="0" fontId="14" fillId="0" borderId="2" xfId="0" applyFont="1" applyBorder="1"/>
    <xf numFmtId="3" fontId="14" fillId="0" borderId="2" xfId="0" applyNumberFormat="1" applyFont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wrapText="1"/>
    </xf>
    <xf numFmtId="0" fontId="14" fillId="2" borderId="2" xfId="0" applyFont="1" applyFill="1" applyBorder="1"/>
    <xf numFmtId="3" fontId="14" fillId="2" borderId="2" xfId="0" applyNumberFormat="1" applyFont="1" applyFill="1" applyBorder="1"/>
    <xf numFmtId="3" fontId="3" fillId="2" borderId="2" xfId="0" applyNumberFormat="1" applyFont="1" applyFill="1" applyBorder="1"/>
    <xf numFmtId="0" fontId="5" fillId="2" borderId="2" xfId="0" applyFont="1" applyFill="1" applyBorder="1" applyAlignment="1">
      <alignment horizontal="left"/>
    </xf>
    <xf numFmtId="3" fontId="13" fillId="2" borderId="2" xfId="0" applyNumberFormat="1" applyFont="1" applyFill="1" applyBorder="1"/>
    <xf numFmtId="0" fontId="12" fillId="0" borderId="2" xfId="0" applyFont="1" applyBorder="1" applyAlignment="1">
      <alignment vertical="top"/>
    </xf>
    <xf numFmtId="3" fontId="12" fillId="0" borderId="2" xfId="0" applyNumberFormat="1" applyFont="1" applyBorder="1" applyAlignment="1">
      <alignment vertical="top"/>
    </xf>
    <xf numFmtId="3" fontId="12" fillId="2" borderId="2" xfId="0" applyNumberFormat="1" applyFont="1" applyFill="1" applyBorder="1" applyAlignment="1">
      <alignment vertical="top"/>
    </xf>
    <xf numFmtId="0" fontId="12" fillId="0" borderId="2" xfId="0" applyFont="1" applyBorder="1"/>
    <xf numFmtId="0" fontId="12" fillId="2" borderId="2" xfId="0" applyFont="1" applyFill="1" applyBorder="1" applyAlignment="1">
      <alignment vertical="top"/>
    </xf>
    <xf numFmtId="0" fontId="10" fillId="0" borderId="2" xfId="0" applyFont="1" applyBorder="1" applyAlignment="1">
      <alignment vertical="top"/>
    </xf>
    <xf numFmtId="3" fontId="10" fillId="0" borderId="2" xfId="0" applyNumberFormat="1" applyFont="1" applyBorder="1" applyAlignment="1">
      <alignment vertical="top"/>
    </xf>
    <xf numFmtId="3" fontId="5" fillId="2" borderId="2" xfId="2" applyNumberFormat="1" applyFont="1" applyFill="1" applyBorder="1" applyAlignment="1" applyProtection="1">
      <alignment horizontal="right"/>
      <protection locked="0"/>
    </xf>
    <xf numFmtId="0" fontId="3" fillId="3" borderId="2" xfId="2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right"/>
    </xf>
    <xf numFmtId="0" fontId="3" fillId="3" borderId="2" xfId="1" applyFont="1" applyFill="1" applyBorder="1" applyAlignment="1" applyProtection="1">
      <alignment horizontal="left"/>
      <protection locked="0"/>
    </xf>
    <xf numFmtId="3" fontId="3" fillId="3" borderId="2" xfId="0" applyNumberFormat="1" applyFont="1" applyFill="1" applyBorder="1" applyAlignment="1">
      <alignment horizontal="right"/>
    </xf>
    <xf numFmtId="0" fontId="3" fillId="3" borderId="2" xfId="4" applyFont="1" applyFill="1" applyBorder="1" applyAlignment="1" applyProtection="1">
      <alignment horizontal="left"/>
      <protection locked="0"/>
    </xf>
    <xf numFmtId="3" fontId="6" fillId="3" borderId="2" xfId="2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3" fontId="7" fillId="3" borderId="2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3" fontId="5" fillId="3" borderId="2" xfId="2" applyNumberFormat="1" applyFont="1" applyFill="1" applyBorder="1" applyAlignment="1" applyProtection="1">
      <alignment horizontal="right"/>
      <protection locked="0"/>
    </xf>
    <xf numFmtId="3" fontId="5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0" fillId="3" borderId="2" xfId="0" applyNumberFormat="1" applyFill="1" applyBorder="1"/>
    <xf numFmtId="0" fontId="11" fillId="3" borderId="2" xfId="0" applyFont="1" applyFill="1" applyBorder="1"/>
    <xf numFmtId="3" fontId="11" fillId="3" borderId="2" xfId="0" applyNumberFormat="1" applyFont="1" applyFill="1" applyBorder="1"/>
    <xf numFmtId="0" fontId="10" fillId="3" borderId="2" xfId="0" applyFont="1" applyFill="1" applyBorder="1" applyAlignment="1">
      <alignment vertical="top"/>
    </xf>
    <xf numFmtId="3" fontId="12" fillId="3" borderId="2" xfId="0" applyNumberFormat="1" applyFont="1" applyFill="1" applyBorder="1" applyAlignment="1">
      <alignment horizontal="center" vertical="top" wrapText="1"/>
    </xf>
    <xf numFmtId="4" fontId="10" fillId="3" borderId="2" xfId="0" applyNumberFormat="1" applyFont="1" applyFill="1" applyBorder="1" applyAlignment="1">
      <alignment horizontal="right" vertical="top" wrapText="1"/>
    </xf>
    <xf numFmtId="4" fontId="10" fillId="3" borderId="2" xfId="0" applyNumberFormat="1" applyFont="1" applyFill="1" applyBorder="1" applyAlignment="1">
      <alignment vertical="top"/>
    </xf>
    <xf numFmtId="4" fontId="10" fillId="3" borderId="2" xfId="0" applyNumberFormat="1" applyFont="1" applyFill="1" applyBorder="1" applyAlignment="1">
      <alignment vertical="top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0" fillId="0" borderId="2" xfId="0" applyNumberFormat="1" applyBorder="1" applyAlignment="1">
      <alignment horizontal="left"/>
    </xf>
  </cellXfs>
  <cellStyles count="8">
    <cellStyle name="Comma 2" xfId="7" xr:uid="{68AF3142-48B6-46A0-9B66-4AC016C8CCBB}"/>
    <cellStyle name="Koma" xfId="6" builtinId="3"/>
    <cellStyle name="Normaallaad" xfId="0" builtinId="0"/>
    <cellStyle name="Normaallaad 2" xfId="5" xr:uid="{625F7053-1720-45B8-BC60-DA405838C2BD}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K117"/>
  <sheetViews>
    <sheetView tabSelected="1" zoomScale="90" zoomScaleNormal="90" workbookViewId="0">
      <selection activeCell="D122" sqref="D122"/>
    </sheetView>
  </sheetViews>
  <sheetFormatPr defaultRowHeight="15" x14ac:dyDescent="0.25"/>
  <cols>
    <col min="1" max="1" width="7.42578125" customWidth="1"/>
    <col min="2" max="2" width="53.42578125" customWidth="1"/>
    <col min="3" max="7" width="22" style="2" customWidth="1"/>
    <col min="8" max="8" width="19.7109375" style="16" customWidth="1"/>
    <col min="9" max="9" width="18.85546875" style="16" bestFit="1" customWidth="1"/>
    <col min="10" max="11" width="18.85546875" style="16" customWidth="1"/>
  </cols>
  <sheetData>
    <row r="1" spans="1:11" ht="15.75" x14ac:dyDescent="0.25">
      <c r="A1" s="21" t="s">
        <v>0</v>
      </c>
      <c r="C1" s="1"/>
      <c r="E1" s="23"/>
      <c r="F1" s="23"/>
      <c r="G1" s="22"/>
    </row>
    <row r="2" spans="1:11" ht="15.75" x14ac:dyDescent="0.25">
      <c r="A2" t="s">
        <v>1</v>
      </c>
      <c r="C2" s="1"/>
      <c r="G2" s="22"/>
    </row>
    <row r="3" spans="1:11" ht="31.5" x14ac:dyDescent="0.25">
      <c r="A3" s="28"/>
      <c r="B3" s="28"/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</row>
    <row r="4" spans="1:11" ht="15.75" x14ac:dyDescent="0.25">
      <c r="A4" s="74" t="s">
        <v>7</v>
      </c>
      <c r="B4" s="75"/>
      <c r="C4" s="30"/>
      <c r="D4" s="30"/>
      <c r="E4" s="73"/>
      <c r="F4" s="73"/>
      <c r="G4" s="31"/>
    </row>
    <row r="5" spans="1:11" ht="15.75" x14ac:dyDescent="0.25">
      <c r="A5" s="76" t="s">
        <v>8</v>
      </c>
      <c r="B5" s="76"/>
      <c r="C5" s="77">
        <f t="shared" ref="C5:E5" si="0">SUM(C6:C11)</f>
        <v>78295708</v>
      </c>
      <c r="D5" s="77">
        <f t="shared" si="0"/>
        <v>78295708</v>
      </c>
      <c r="E5" s="77">
        <f t="shared" si="0"/>
        <v>79876944.810000002</v>
      </c>
      <c r="F5" s="77">
        <f t="shared" ref="F5" si="1">SUM(F6:F11)</f>
        <v>65256056.780000001</v>
      </c>
      <c r="G5" s="77">
        <f>SUM(G6:G11)</f>
        <v>1581236.810000004</v>
      </c>
    </row>
    <row r="6" spans="1:11" ht="15.75" x14ac:dyDescent="0.25">
      <c r="A6" s="34"/>
      <c r="B6" s="34" t="s">
        <v>9</v>
      </c>
      <c r="C6" s="30">
        <v>560110</v>
      </c>
      <c r="D6" s="30">
        <f>C6</f>
        <v>560110</v>
      </c>
      <c r="E6" s="35">
        <v>856651.67</v>
      </c>
      <c r="F6" s="30">
        <v>322835.57</v>
      </c>
      <c r="G6" s="30">
        <f>E6-D6</f>
        <v>296541.67000000004</v>
      </c>
      <c r="H6" s="19"/>
      <c r="I6" s="19"/>
    </row>
    <row r="7" spans="1:11" ht="15.75" x14ac:dyDescent="0.25">
      <c r="A7" s="34"/>
      <c r="B7" s="34" t="s">
        <v>10</v>
      </c>
      <c r="C7" s="30">
        <v>9117676</v>
      </c>
      <c r="D7" s="30">
        <f t="shared" ref="D7:D11" si="2">C7</f>
        <v>9117676</v>
      </c>
      <c r="E7" s="35">
        <f>10196893.54+2782.21</f>
        <v>10199675.75</v>
      </c>
      <c r="F7" s="30">
        <f>6900474.39+46786.38</f>
        <v>6947260.7699999996</v>
      </c>
      <c r="G7" s="30">
        <f t="shared" ref="G7:G13" si="3">E7-D7</f>
        <v>1081999.75</v>
      </c>
      <c r="H7" s="19"/>
      <c r="I7" s="19"/>
    </row>
    <row r="8" spans="1:11" ht="15.75" x14ac:dyDescent="0.25">
      <c r="A8" s="34"/>
      <c r="B8" s="34" t="s">
        <v>11</v>
      </c>
      <c r="C8" s="30">
        <v>68126922</v>
      </c>
      <c r="D8" s="30">
        <f t="shared" si="2"/>
        <v>68126922</v>
      </c>
      <c r="E8" s="35">
        <f>91917257.77-2931484.94-34646.19-21163396.66</f>
        <v>67787729.980000004</v>
      </c>
      <c r="F8" s="30">
        <f>75896593.28-17098110.79-1525835.09</f>
        <v>57272647.399999999</v>
      </c>
      <c r="G8" s="30">
        <f t="shared" si="3"/>
        <v>-339192.01999999583</v>
      </c>
      <c r="I8" s="19"/>
    </row>
    <row r="9" spans="1:11" ht="15.75" x14ac:dyDescent="0.25">
      <c r="A9" s="34"/>
      <c r="B9" s="34" t="s">
        <v>12</v>
      </c>
      <c r="C9" s="30">
        <v>0</v>
      </c>
      <c r="D9" s="30">
        <f t="shared" si="2"/>
        <v>0</v>
      </c>
      <c r="E9" s="35">
        <v>8800</v>
      </c>
      <c r="F9" s="30">
        <v>0</v>
      </c>
      <c r="G9" s="30">
        <f t="shared" si="3"/>
        <v>8800</v>
      </c>
      <c r="H9" s="19"/>
      <c r="I9" s="19"/>
    </row>
    <row r="10" spans="1:11" ht="15.75" x14ac:dyDescent="0.25">
      <c r="A10" s="34"/>
      <c r="B10" s="34" t="s">
        <v>13</v>
      </c>
      <c r="C10" s="30">
        <v>7000</v>
      </c>
      <c r="D10" s="30">
        <f t="shared" si="2"/>
        <v>7000</v>
      </c>
      <c r="E10" s="35">
        <v>16915.89</v>
      </c>
      <c r="F10" s="30">
        <v>7947.2</v>
      </c>
      <c r="G10" s="30">
        <f t="shared" si="3"/>
        <v>9915.89</v>
      </c>
      <c r="H10" s="19"/>
      <c r="I10" s="19"/>
    </row>
    <row r="11" spans="1:11" ht="15.75" x14ac:dyDescent="0.25">
      <c r="A11" s="34"/>
      <c r="B11" s="34" t="s">
        <v>14</v>
      </c>
      <c r="C11" s="30">
        <v>484000</v>
      </c>
      <c r="D11" s="30">
        <f t="shared" si="2"/>
        <v>484000</v>
      </c>
      <c r="E11" s="35">
        <f>999595.89+7575.63</f>
        <v>1007171.52</v>
      </c>
      <c r="F11" s="30">
        <f>695468.55+460.38+9436.91</f>
        <v>705365.84000000008</v>
      </c>
      <c r="G11" s="30">
        <f t="shared" si="3"/>
        <v>523171.52</v>
      </c>
      <c r="H11" s="19"/>
      <c r="I11" s="19"/>
    </row>
    <row r="12" spans="1:11" ht="15.75" x14ac:dyDescent="0.25">
      <c r="A12" s="74" t="s">
        <v>15</v>
      </c>
      <c r="B12" s="74"/>
      <c r="C12" s="77">
        <v>-7469699390</v>
      </c>
      <c r="D12" s="77">
        <v>-7530153594</v>
      </c>
      <c r="E12" s="77">
        <v>-7393622561</v>
      </c>
      <c r="F12" s="77">
        <v>-7072502072</v>
      </c>
      <c r="G12" s="77">
        <f t="shared" si="3"/>
        <v>136531033</v>
      </c>
    </row>
    <row r="13" spans="1:11" ht="15.75" x14ac:dyDescent="0.25">
      <c r="A13" s="34"/>
      <c r="B13" s="37" t="s">
        <v>16</v>
      </c>
      <c r="C13" s="30">
        <v>-197436064</v>
      </c>
      <c r="D13" s="30">
        <v>-227358603</v>
      </c>
      <c r="E13" s="30">
        <v>-205777229</v>
      </c>
      <c r="F13" s="30">
        <v>-331291751</v>
      </c>
      <c r="G13" s="30">
        <f t="shared" si="3"/>
        <v>21581374</v>
      </c>
    </row>
    <row r="14" spans="1:11" ht="15.75" x14ac:dyDescent="0.25">
      <c r="A14" s="76" t="s">
        <v>17</v>
      </c>
      <c r="B14" s="78"/>
      <c r="C14" s="77">
        <f>C16+C24+C30+C36+C48</f>
        <v>-5016691788</v>
      </c>
      <c r="D14" s="77">
        <f t="shared" ref="D14:F14" si="4">D16+D24+D30+D36+D48</f>
        <v>-5040741126.2799997</v>
      </c>
      <c r="E14" s="77">
        <f t="shared" si="4"/>
        <v>-4917591222.2400017</v>
      </c>
      <c r="F14" s="77">
        <f t="shared" si="4"/>
        <v>-4592465563.4100008</v>
      </c>
      <c r="G14" s="77">
        <f>G16+G24+G30+G36+G48</f>
        <v>123149904.03999855</v>
      </c>
    </row>
    <row r="15" spans="1:11" ht="15.75" x14ac:dyDescent="0.25">
      <c r="A15" s="32"/>
      <c r="B15" s="37" t="s">
        <v>16</v>
      </c>
      <c r="C15" s="30">
        <f>C17+C25+C31+C37+C49</f>
        <v>-123820872</v>
      </c>
      <c r="D15" s="30">
        <f>D17+D25+D31+D37+D49</f>
        <v>-134767752.72999999</v>
      </c>
      <c r="E15" s="30">
        <f>E17+E25+E31+E37+E49</f>
        <v>-124382373.30000001</v>
      </c>
      <c r="F15" s="30">
        <f>F17+F25+F31+F37+F49</f>
        <v>-120648930.34</v>
      </c>
      <c r="G15" s="30">
        <f>G17+G25+G31+G37+G49</f>
        <v>10385379.429999987</v>
      </c>
    </row>
    <row r="16" spans="1:11" s="14" customFormat="1" ht="15.75" x14ac:dyDescent="0.25">
      <c r="A16" s="39" t="s">
        <v>18</v>
      </c>
      <c r="B16" s="40"/>
      <c r="C16" s="33">
        <f>C18+C20+C22</f>
        <v>-15105894</v>
      </c>
      <c r="D16" s="33">
        <f t="shared" ref="D16:G16" si="5">D18+D20+D22</f>
        <v>-15645565</v>
      </c>
      <c r="E16" s="33">
        <f t="shared" si="5"/>
        <v>-16213044</v>
      </c>
      <c r="F16" s="33">
        <f t="shared" si="5"/>
        <v>-16988420.98</v>
      </c>
      <c r="G16" s="33">
        <f t="shared" si="5"/>
        <v>-567479</v>
      </c>
      <c r="H16" s="20"/>
      <c r="I16" s="20"/>
      <c r="J16" s="16"/>
      <c r="K16" s="16"/>
    </row>
    <row r="17" spans="1:11" ht="15.75" x14ac:dyDescent="0.25">
      <c r="A17" s="34"/>
      <c r="B17" s="37" t="s">
        <v>16</v>
      </c>
      <c r="C17" s="30">
        <f>C19+C21+C23</f>
        <v>-1645287</v>
      </c>
      <c r="D17" s="30">
        <f t="shared" ref="D17:G17" si="6">D19+D21+D23</f>
        <v>-1601649</v>
      </c>
      <c r="E17" s="30">
        <f t="shared" si="6"/>
        <v>-1443088</v>
      </c>
      <c r="F17" s="30">
        <f t="shared" si="6"/>
        <v>-2532285.14</v>
      </c>
      <c r="G17" s="30">
        <f t="shared" si="6"/>
        <v>158561</v>
      </c>
    </row>
    <row r="18" spans="1:11" ht="15.75" x14ac:dyDescent="0.25">
      <c r="A18" s="34" t="s">
        <v>19</v>
      </c>
      <c r="B18" s="37"/>
      <c r="C18" s="30">
        <f>LISA!D26</f>
        <v>-351521</v>
      </c>
      <c r="D18" s="30">
        <f>LISA!E26</f>
        <v>-446471</v>
      </c>
      <c r="E18" s="30">
        <f>LISA!F26</f>
        <v>-422363</v>
      </c>
      <c r="F18" s="30">
        <v>0</v>
      </c>
      <c r="G18" s="30">
        <f t="shared" ref="G18:G23" si="7">E18-D18</f>
        <v>24108</v>
      </c>
    </row>
    <row r="19" spans="1:11" ht="15.75" x14ac:dyDescent="0.25">
      <c r="A19" s="34"/>
      <c r="B19" s="37" t="s">
        <v>16</v>
      </c>
      <c r="C19" s="30">
        <f>LISA!D27</f>
        <v>-305505</v>
      </c>
      <c r="D19" s="30">
        <f>LISA!E27</f>
        <v>-400455</v>
      </c>
      <c r="E19" s="30">
        <f>LISA!F27</f>
        <v>-369246</v>
      </c>
      <c r="F19" s="30">
        <v>0</v>
      </c>
      <c r="G19" s="30">
        <f t="shared" si="7"/>
        <v>31209</v>
      </c>
    </row>
    <row r="20" spans="1:11" ht="15.75" x14ac:dyDescent="0.25">
      <c r="A20" s="34" t="s">
        <v>20</v>
      </c>
      <c r="B20" s="37"/>
      <c r="C20" s="30">
        <f>LISA!D40</f>
        <v>-14754373</v>
      </c>
      <c r="D20" s="30">
        <f>LISA!E40</f>
        <v>-15199094</v>
      </c>
      <c r="E20" s="30">
        <f>LISA!F40</f>
        <v>-15790681</v>
      </c>
      <c r="F20" s="30">
        <v>-16585120.85</v>
      </c>
      <c r="G20" s="30">
        <f t="shared" si="7"/>
        <v>-591587</v>
      </c>
    </row>
    <row r="21" spans="1:11" ht="15.75" x14ac:dyDescent="0.25">
      <c r="A21" s="34"/>
      <c r="B21" s="37" t="s">
        <v>16</v>
      </c>
      <c r="C21" s="30">
        <f>LISA!D41</f>
        <v>-1339782</v>
      </c>
      <c r="D21" s="30">
        <f>LISA!E41</f>
        <v>-1201194</v>
      </c>
      <c r="E21" s="30">
        <f>LISA!F41</f>
        <v>-1073842</v>
      </c>
      <c r="F21" s="30">
        <v>-2188236.7200000002</v>
      </c>
      <c r="G21" s="30">
        <f t="shared" si="7"/>
        <v>127352</v>
      </c>
    </row>
    <row r="22" spans="1:11" ht="15.75" x14ac:dyDescent="0.25">
      <c r="A22" s="34" t="s">
        <v>21</v>
      </c>
      <c r="B22" s="37"/>
      <c r="C22" s="30">
        <v>0</v>
      </c>
      <c r="D22" s="30">
        <v>0</v>
      </c>
      <c r="E22" s="30">
        <v>0</v>
      </c>
      <c r="F22" s="30">
        <v>-403300.13</v>
      </c>
      <c r="G22" s="30">
        <f t="shared" si="7"/>
        <v>0</v>
      </c>
    </row>
    <row r="23" spans="1:11" ht="15.75" x14ac:dyDescent="0.25">
      <c r="A23" s="34"/>
      <c r="B23" s="37" t="s">
        <v>16</v>
      </c>
      <c r="C23" s="30">
        <v>0</v>
      </c>
      <c r="D23" s="30">
        <v>0</v>
      </c>
      <c r="E23" s="30">
        <v>0</v>
      </c>
      <c r="F23" s="30">
        <v>-344048.42</v>
      </c>
      <c r="G23" s="30">
        <f t="shared" si="7"/>
        <v>0</v>
      </c>
    </row>
    <row r="24" spans="1:11" s="14" customFormat="1" ht="15.75" x14ac:dyDescent="0.25">
      <c r="A24" s="32" t="s">
        <v>22</v>
      </c>
      <c r="B24" s="36"/>
      <c r="C24" s="33">
        <f>C26+C28</f>
        <v>-3839394536</v>
      </c>
      <c r="D24" s="33">
        <f t="shared" ref="D24:E25" si="8">D26+D28</f>
        <v>-3860249226.5699997</v>
      </c>
      <c r="E24" s="33">
        <f t="shared" si="8"/>
        <v>-3814398502.480001</v>
      </c>
      <c r="F24" s="33">
        <f t="shared" ref="F24" si="9">F26+F28</f>
        <v>-3501493009.1500001</v>
      </c>
      <c r="G24" s="33">
        <f t="shared" ref="G24" si="10">G26+G28</f>
        <v>45850724.089998722</v>
      </c>
      <c r="H24" s="20"/>
      <c r="I24" s="20"/>
      <c r="J24" s="16"/>
      <c r="K24" s="16"/>
    </row>
    <row r="25" spans="1:11" ht="15.75" x14ac:dyDescent="0.25">
      <c r="A25" s="34"/>
      <c r="B25" s="37" t="s">
        <v>16</v>
      </c>
      <c r="C25" s="30">
        <f>C27+C29</f>
        <v>-6655635</v>
      </c>
      <c r="D25" s="30">
        <f t="shared" si="8"/>
        <v>-7074389.5399999991</v>
      </c>
      <c r="E25" s="30">
        <f t="shared" si="8"/>
        <v>-6429087.8000000007</v>
      </c>
      <c r="F25" s="30">
        <f t="shared" ref="F25" si="11">F27+F29</f>
        <v>-6661355.9099999992</v>
      </c>
      <c r="G25" s="30">
        <f t="shared" ref="G25" si="12">G27+G29</f>
        <v>645301.73999999836</v>
      </c>
    </row>
    <row r="26" spans="1:11" ht="15.75" x14ac:dyDescent="0.25">
      <c r="A26" s="34" t="s">
        <v>23</v>
      </c>
      <c r="B26" s="37"/>
      <c r="C26" s="30">
        <f>LISA!D83</f>
        <v>-1167138</v>
      </c>
      <c r="D26" s="30">
        <f>LISA!E83</f>
        <v>-703108</v>
      </c>
      <c r="E26" s="30">
        <f>LISA!F83</f>
        <v>-286318</v>
      </c>
      <c r="F26" s="30">
        <v>-235235.5</v>
      </c>
      <c r="G26" s="30">
        <f t="shared" ref="G26:G29" si="13">E26-D26</f>
        <v>416790</v>
      </c>
    </row>
    <row r="27" spans="1:11" ht="15.75" x14ac:dyDescent="0.25">
      <c r="A27" s="34"/>
      <c r="B27" s="37" t="s">
        <v>16</v>
      </c>
      <c r="C27" s="30">
        <f>LISA!D84</f>
        <v>-198000</v>
      </c>
      <c r="D27" s="30">
        <f>LISA!E84</f>
        <v>-199088</v>
      </c>
      <c r="E27" s="30">
        <f>LISA!F84</f>
        <v>-199088</v>
      </c>
      <c r="F27" s="30">
        <v>-173190.56</v>
      </c>
      <c r="G27" s="30">
        <f t="shared" si="13"/>
        <v>0</v>
      </c>
    </row>
    <row r="28" spans="1:11" ht="15.75" x14ac:dyDescent="0.25">
      <c r="A28" s="34" t="s">
        <v>24</v>
      </c>
      <c r="B28" s="37"/>
      <c r="C28" s="30">
        <f>LISA!D96</f>
        <v>-3838227398</v>
      </c>
      <c r="D28" s="30">
        <f>LISA!E96</f>
        <v>-3859546118.5699997</v>
      </c>
      <c r="E28" s="35">
        <f>LISA!F96</f>
        <v>-3814112184.480001</v>
      </c>
      <c r="F28" s="30">
        <v>-3501257773.6500001</v>
      </c>
      <c r="G28" s="30">
        <f t="shared" si="13"/>
        <v>45433934.089998722</v>
      </c>
    </row>
    <row r="29" spans="1:11" ht="15.75" x14ac:dyDescent="0.25">
      <c r="A29" s="34"/>
      <c r="B29" s="37" t="s">
        <v>16</v>
      </c>
      <c r="C29" s="30">
        <f>LISA!D97</f>
        <v>-6457635</v>
      </c>
      <c r="D29" s="30">
        <f>LISA!E97</f>
        <v>-6875301.5399999991</v>
      </c>
      <c r="E29" s="30">
        <f>LISA!F97</f>
        <v>-6229999.8000000007</v>
      </c>
      <c r="F29" s="30">
        <v>-6488165.3499999996</v>
      </c>
      <c r="G29" s="30">
        <f t="shared" si="13"/>
        <v>645301.73999999836</v>
      </c>
    </row>
    <row r="30" spans="1:11" ht="15.75" x14ac:dyDescent="0.25">
      <c r="A30" s="41" t="s">
        <v>25</v>
      </c>
      <c r="B30" s="41"/>
      <c r="C30" s="33">
        <f>C32+C34</f>
        <v>-168366081</v>
      </c>
      <c r="D30" s="33">
        <f t="shared" ref="D30:E31" si="14">D32+D34</f>
        <v>-169373988.96999997</v>
      </c>
      <c r="E30" s="33">
        <f t="shared" si="14"/>
        <v>-157491510.31999999</v>
      </c>
      <c r="F30" s="33">
        <f t="shared" ref="F30" si="15">F32+F34</f>
        <v>-140363691.31999999</v>
      </c>
      <c r="G30" s="33">
        <f t="shared" ref="G30" si="16">G32+G34</f>
        <v>11882478.649999972</v>
      </c>
    </row>
    <row r="31" spans="1:11" ht="15.75" x14ac:dyDescent="0.25">
      <c r="A31" s="42"/>
      <c r="B31" s="37" t="s">
        <v>16</v>
      </c>
      <c r="C31" s="30">
        <f>C33+C35</f>
        <v>-71439582</v>
      </c>
      <c r="D31" s="30">
        <f t="shared" si="14"/>
        <v>-79578961.089999989</v>
      </c>
      <c r="E31" s="30">
        <f t="shared" si="14"/>
        <v>-75583238.24000001</v>
      </c>
      <c r="F31" s="30">
        <f t="shared" ref="F31" si="17">F33+F35</f>
        <v>-71388571.370000005</v>
      </c>
      <c r="G31" s="30">
        <f t="shared" ref="G31" si="18">G33+G35</f>
        <v>3995722.8499999912</v>
      </c>
      <c r="H31" s="19"/>
      <c r="I31" s="19"/>
    </row>
    <row r="32" spans="1:11" ht="15.75" x14ac:dyDescent="0.25">
      <c r="A32" s="42" t="s">
        <v>26</v>
      </c>
      <c r="B32" s="37"/>
      <c r="C32" s="30">
        <f>LISA!D172</f>
        <v>-16226532</v>
      </c>
      <c r="D32" s="30">
        <f>LISA!E172</f>
        <v>-15969574.449999999</v>
      </c>
      <c r="E32" s="30">
        <f>LISA!F172</f>
        <v>-12620299.609999999</v>
      </c>
      <c r="F32" s="30">
        <v>-6481172.4800000004</v>
      </c>
      <c r="G32" s="30">
        <f t="shared" ref="G32:G35" si="19">E32-D32</f>
        <v>3349274.84</v>
      </c>
      <c r="H32" s="19"/>
    </row>
    <row r="33" spans="1:9" ht="15.75" x14ac:dyDescent="0.25">
      <c r="A33" s="42"/>
      <c r="B33" s="37" t="s">
        <v>16</v>
      </c>
      <c r="C33" s="30">
        <f>LISA!D173</f>
        <v>-4071512</v>
      </c>
      <c r="D33" s="30">
        <f>LISA!E173</f>
        <v>-4614363.49</v>
      </c>
      <c r="E33" s="30">
        <f>LISA!F173</f>
        <v>-3866470.29</v>
      </c>
      <c r="F33" s="30">
        <v>-3850540</v>
      </c>
      <c r="G33" s="30">
        <f t="shared" si="19"/>
        <v>747893.20000000019</v>
      </c>
    </row>
    <row r="34" spans="1:9" ht="15.75" x14ac:dyDescent="0.25">
      <c r="A34" s="42" t="s">
        <v>27</v>
      </c>
      <c r="B34" s="37"/>
      <c r="C34" s="30">
        <f>LISA!D226</f>
        <v>-152139549</v>
      </c>
      <c r="D34" s="30">
        <f>LISA!E226</f>
        <v>-153404414.51999998</v>
      </c>
      <c r="E34" s="30">
        <f>LISA!F226</f>
        <v>-144871210.71000001</v>
      </c>
      <c r="F34" s="30">
        <v>-133882518.84</v>
      </c>
      <c r="G34" s="30">
        <f t="shared" si="19"/>
        <v>8533203.8099999726</v>
      </c>
      <c r="H34" s="19"/>
    </row>
    <row r="35" spans="1:9" ht="15.75" x14ac:dyDescent="0.25">
      <c r="A35" s="42"/>
      <c r="B35" s="37" t="s">
        <v>16</v>
      </c>
      <c r="C35" s="30">
        <f>LISA!D227</f>
        <v>-67368070</v>
      </c>
      <c r="D35" s="30">
        <f>LISA!E227</f>
        <v>-74964597.599999994</v>
      </c>
      <c r="E35" s="30">
        <f>LISA!F227</f>
        <v>-71716767.950000003</v>
      </c>
      <c r="F35" s="30">
        <v>-67538031.370000005</v>
      </c>
      <c r="G35" s="30">
        <f t="shared" si="19"/>
        <v>3247829.6499999911</v>
      </c>
      <c r="H35" s="19"/>
    </row>
    <row r="36" spans="1:9" ht="15.75" x14ac:dyDescent="0.25">
      <c r="A36" s="32" t="s">
        <v>28</v>
      </c>
      <c r="B36" s="38"/>
      <c r="C36" s="33">
        <f>C38+C40+C42+C44+C46</f>
        <v>-993825277</v>
      </c>
      <c r="D36" s="33">
        <f t="shared" ref="D36:E37" si="20">D38+D40+D42+D44+D46</f>
        <v>-995472345.73999989</v>
      </c>
      <c r="E36" s="33">
        <f t="shared" si="20"/>
        <v>-929488165.44000006</v>
      </c>
      <c r="F36" s="33">
        <f t="shared" ref="F36" si="21">F38+F40+F42+F44+F46</f>
        <v>-932836027.40999997</v>
      </c>
      <c r="G36" s="33">
        <f t="shared" ref="G36" si="22">G38+G40+G42+G44+G46</f>
        <v>65984180.299999848</v>
      </c>
    </row>
    <row r="37" spans="1:9" ht="15.75" x14ac:dyDescent="0.25">
      <c r="A37" s="34"/>
      <c r="B37" s="37" t="s">
        <v>16</v>
      </c>
      <c r="C37" s="30">
        <f>C39+C41+C43+C45+C47</f>
        <v>-44080368</v>
      </c>
      <c r="D37" s="30">
        <f t="shared" si="20"/>
        <v>-46512753.099999994</v>
      </c>
      <c r="E37" s="30">
        <f t="shared" si="20"/>
        <v>-40926959.259999998</v>
      </c>
      <c r="F37" s="30">
        <f t="shared" ref="F37" si="23">F39+F41+F43+F45+F47</f>
        <v>-39357888.789999999</v>
      </c>
      <c r="G37" s="30">
        <f t="shared" ref="G37" si="24">G39+G41+G43+G45+G47</f>
        <v>5585793.8399999971</v>
      </c>
      <c r="H37" s="19"/>
      <c r="I37" s="19"/>
    </row>
    <row r="38" spans="1:9" ht="15.75" x14ac:dyDescent="0.25">
      <c r="A38" s="34" t="s">
        <v>190</v>
      </c>
      <c r="B38" s="37"/>
      <c r="C38" s="30">
        <f>LISA!D306</f>
        <v>-936245779</v>
      </c>
      <c r="D38" s="30">
        <f>LISA!E306</f>
        <v>-937329431.57999992</v>
      </c>
      <c r="E38" s="30">
        <f>LISA!F306</f>
        <v>-881254307.17000008</v>
      </c>
      <c r="F38" s="30">
        <v>-891899765.90999997</v>
      </c>
      <c r="G38" s="30">
        <f t="shared" ref="G38:G41" si="25">E38-D38</f>
        <v>56075124.409999847</v>
      </c>
    </row>
    <row r="39" spans="1:9" ht="15.75" x14ac:dyDescent="0.25">
      <c r="A39" s="34"/>
      <c r="B39" s="37" t="s">
        <v>16</v>
      </c>
      <c r="C39" s="30">
        <f>LISA!D307</f>
        <v>-3939347</v>
      </c>
      <c r="D39" s="30">
        <f>LISA!E307</f>
        <v>-5023877.92</v>
      </c>
      <c r="E39" s="30">
        <f>LISA!F307</f>
        <v>-4428239.7699999996</v>
      </c>
      <c r="F39" s="30">
        <v>-5904059.2300000004</v>
      </c>
      <c r="G39" s="30">
        <f t="shared" si="25"/>
        <v>595638.15000000037</v>
      </c>
    </row>
    <row r="40" spans="1:9" ht="15.75" x14ac:dyDescent="0.25">
      <c r="A40" s="34" t="s">
        <v>29</v>
      </c>
      <c r="B40" s="37"/>
      <c r="C40" s="30">
        <f>LISA!D348</f>
        <v>-36719889</v>
      </c>
      <c r="D40" s="30">
        <f>LISA!E348</f>
        <v>-37807274.769999996</v>
      </c>
      <c r="E40" s="30">
        <f>LISA!F348</f>
        <v>-30892731.379999995</v>
      </c>
      <c r="F40" s="30">
        <v>-26989054.93</v>
      </c>
      <c r="G40" s="30">
        <f t="shared" si="25"/>
        <v>6914543.3900000006</v>
      </c>
      <c r="H40" s="19"/>
    </row>
    <row r="41" spans="1:9" ht="15.75" x14ac:dyDescent="0.25">
      <c r="A41" s="34"/>
      <c r="B41" s="37" t="s">
        <v>16</v>
      </c>
      <c r="C41" s="30">
        <f>LISA!D349</f>
        <v>-27727076</v>
      </c>
      <c r="D41" s="30">
        <f>LISA!E349</f>
        <v>-27625708.569999997</v>
      </c>
      <c r="E41" s="30">
        <f>LISA!F349</f>
        <v>-24639389.489999998</v>
      </c>
      <c r="F41" s="30">
        <v>-22689019.23</v>
      </c>
      <c r="G41" s="30">
        <f t="shared" si="25"/>
        <v>2986319.0799999982</v>
      </c>
    </row>
    <row r="42" spans="1:9" ht="15.75" x14ac:dyDescent="0.25">
      <c r="A42" s="34" t="s">
        <v>30</v>
      </c>
      <c r="B42" s="37"/>
      <c r="C42" s="30">
        <f>LISA!D395</f>
        <v>-4096074</v>
      </c>
      <c r="D42" s="30">
        <f>LISA!E395</f>
        <v>-3533680.41</v>
      </c>
      <c r="E42" s="30">
        <f>LISA!F395</f>
        <v>-3113281.27</v>
      </c>
      <c r="F42" s="30">
        <v>-2675094.54</v>
      </c>
      <c r="G42" s="30">
        <f t="shared" ref="G42:G47" si="26">E42-D42</f>
        <v>420399.14000000013</v>
      </c>
      <c r="H42" s="19"/>
    </row>
    <row r="43" spans="1:9" ht="15.75" x14ac:dyDescent="0.25">
      <c r="A43" s="34"/>
      <c r="B43" s="37" t="s">
        <v>16</v>
      </c>
      <c r="C43" s="30">
        <f>LISA!D396</f>
        <v>-2169050</v>
      </c>
      <c r="D43" s="30">
        <f>LISA!E396</f>
        <v>-2249720.38</v>
      </c>
      <c r="E43" s="30">
        <f>LISA!F396</f>
        <v>-2062964.1</v>
      </c>
      <c r="F43" s="30">
        <v>-2165464.35</v>
      </c>
      <c r="G43" s="30">
        <f t="shared" si="26"/>
        <v>186756.2799999998</v>
      </c>
      <c r="H43" s="19"/>
    </row>
    <row r="44" spans="1:9" ht="15.75" x14ac:dyDescent="0.25">
      <c r="A44" s="34" t="s">
        <v>31</v>
      </c>
      <c r="B44" s="37"/>
      <c r="C44" s="30">
        <f>LISA!D429</f>
        <v>-7683678</v>
      </c>
      <c r="D44" s="30">
        <f>LISA!E429</f>
        <v>-4830032.3999999994</v>
      </c>
      <c r="E44" s="30">
        <f>LISA!F429</f>
        <v>-4067357.04</v>
      </c>
      <c r="F44" s="30">
        <v>-3734215.34</v>
      </c>
      <c r="G44" s="30">
        <f t="shared" si="26"/>
        <v>762675.3599999994</v>
      </c>
    </row>
    <row r="45" spans="1:9" ht="15.75" x14ac:dyDescent="0.25">
      <c r="A45" s="34"/>
      <c r="B45" s="37" t="s">
        <v>16</v>
      </c>
      <c r="C45" s="30">
        <f>LISA!D430</f>
        <v>-3321486</v>
      </c>
      <c r="D45" s="30">
        <f>LISA!E430</f>
        <v>-2934156.9699999997</v>
      </c>
      <c r="E45" s="30">
        <f>LISA!F430</f>
        <v>-2462814.1199999996</v>
      </c>
      <c r="F45" s="30">
        <v>-2734540.29</v>
      </c>
      <c r="G45" s="30">
        <f t="shared" si="26"/>
        <v>471342.85000000009</v>
      </c>
      <c r="H45" s="19"/>
    </row>
    <row r="46" spans="1:9" ht="15.75" x14ac:dyDescent="0.25">
      <c r="A46" s="34" t="s">
        <v>32</v>
      </c>
      <c r="B46" s="37"/>
      <c r="C46" s="30">
        <f>LISA!D470</f>
        <v>-9079857</v>
      </c>
      <c r="D46" s="30">
        <f>LISA!E470</f>
        <v>-11971926.58</v>
      </c>
      <c r="E46" s="30">
        <f>LISA!F470</f>
        <v>-10160488.58</v>
      </c>
      <c r="F46" s="30">
        <v>-7537896.6900000004</v>
      </c>
      <c r="G46" s="30">
        <f t="shared" si="26"/>
        <v>1811438</v>
      </c>
      <c r="H46" s="19"/>
    </row>
    <row r="47" spans="1:9" ht="15.75" x14ac:dyDescent="0.25">
      <c r="A47" s="34"/>
      <c r="B47" s="37" t="s">
        <v>16</v>
      </c>
      <c r="C47" s="30">
        <f>LISA!D471</f>
        <v>-6923409</v>
      </c>
      <c r="D47" s="30">
        <f>LISA!E471</f>
        <v>-8679289.2599999998</v>
      </c>
      <c r="E47" s="30">
        <f>LISA!F471</f>
        <v>-7333551.7800000012</v>
      </c>
      <c r="F47" s="30">
        <v>-5864805.6900000004</v>
      </c>
      <c r="G47" s="30">
        <f t="shared" si="26"/>
        <v>1345737.4799999986</v>
      </c>
      <c r="H47" s="19"/>
      <c r="I47" s="19"/>
    </row>
    <row r="48" spans="1:9" ht="15.75" x14ac:dyDescent="0.25">
      <c r="A48" s="39" t="s">
        <v>33</v>
      </c>
      <c r="B48" s="32"/>
      <c r="C48" s="33">
        <f>C50</f>
        <v>0</v>
      </c>
      <c r="D48" s="33">
        <f t="shared" ref="D48:G48" si="27">D50</f>
        <v>0</v>
      </c>
      <c r="E48" s="33">
        <f t="shared" si="27"/>
        <v>0</v>
      </c>
      <c r="F48" s="33">
        <f t="shared" si="27"/>
        <v>-784414.55</v>
      </c>
      <c r="G48" s="33">
        <f t="shared" si="27"/>
        <v>0</v>
      </c>
    </row>
    <row r="49" spans="1:9" ht="15.75" x14ac:dyDescent="0.25">
      <c r="A49" s="34"/>
      <c r="B49" s="37" t="s">
        <v>16</v>
      </c>
      <c r="C49" s="30">
        <f>C51</f>
        <v>0</v>
      </c>
      <c r="D49" s="30">
        <f t="shared" ref="D49:G49" si="28">D51</f>
        <v>0</v>
      </c>
      <c r="E49" s="30">
        <f t="shared" si="28"/>
        <v>0</v>
      </c>
      <c r="F49" s="30">
        <f t="shared" si="28"/>
        <v>-708829.13</v>
      </c>
      <c r="G49" s="30">
        <f t="shared" si="28"/>
        <v>0</v>
      </c>
      <c r="H49" s="19"/>
      <c r="I49" s="19"/>
    </row>
    <row r="50" spans="1:9" ht="15.75" x14ac:dyDescent="0.25">
      <c r="A50" s="34" t="s">
        <v>34</v>
      </c>
      <c r="B50" s="37"/>
      <c r="C50" s="30">
        <v>0</v>
      </c>
      <c r="D50" s="30">
        <v>0</v>
      </c>
      <c r="E50" s="30">
        <v>0</v>
      </c>
      <c r="F50" s="30">
        <v>-784414.55</v>
      </c>
      <c r="G50" s="30">
        <f t="shared" ref="G50:G51" si="29">E50-D50</f>
        <v>0</v>
      </c>
    </row>
    <row r="51" spans="1:9" ht="15.75" x14ac:dyDescent="0.25">
      <c r="A51" s="34"/>
      <c r="B51" s="37" t="s">
        <v>16</v>
      </c>
      <c r="C51" s="30">
        <v>0</v>
      </c>
      <c r="D51" s="30">
        <v>0</v>
      </c>
      <c r="E51" s="30">
        <v>0</v>
      </c>
      <c r="F51" s="30">
        <v>-708829.13</v>
      </c>
      <c r="G51" s="30">
        <f t="shared" si="29"/>
        <v>0</v>
      </c>
    </row>
    <row r="52" spans="1:9" ht="15.75" x14ac:dyDescent="0.25">
      <c r="A52" s="76" t="s">
        <v>35</v>
      </c>
      <c r="B52" s="79"/>
      <c r="C52" s="77">
        <f t="shared" ref="C52:G53" si="30">C54+C64+C76</f>
        <v>-2444877272</v>
      </c>
      <c r="D52" s="77">
        <f t="shared" si="30"/>
        <v>-2480656305.1799998</v>
      </c>
      <c r="E52" s="77">
        <f t="shared" si="30"/>
        <v>-2467522821.7240005</v>
      </c>
      <c r="F52" s="77">
        <f t="shared" ref="F52" si="31">F54+F64+F76</f>
        <v>-2472892393.0099998</v>
      </c>
      <c r="G52" s="77">
        <f t="shared" si="30"/>
        <v>13133483.455999792</v>
      </c>
    </row>
    <row r="53" spans="1:9" ht="15.75" x14ac:dyDescent="0.25">
      <c r="A53" s="32"/>
      <c r="B53" s="37" t="s">
        <v>16</v>
      </c>
      <c r="C53" s="30">
        <f t="shared" si="30"/>
        <v>-73615192</v>
      </c>
      <c r="D53" s="30">
        <f t="shared" si="30"/>
        <v>-92590850.139999986</v>
      </c>
      <c r="E53" s="30">
        <f t="shared" si="30"/>
        <v>-81394855.709999993</v>
      </c>
      <c r="F53" s="30">
        <f t="shared" ref="F53" si="32">F55+F65+F77</f>
        <v>-210642820.34999999</v>
      </c>
      <c r="G53" s="30">
        <f t="shared" si="30"/>
        <v>11195994.43</v>
      </c>
    </row>
    <row r="54" spans="1:9" ht="15.75" x14ac:dyDescent="0.25">
      <c r="A54" s="41" t="s">
        <v>36</v>
      </c>
      <c r="B54" s="32"/>
      <c r="C54" s="33">
        <f>C56+C58+C60+C62</f>
        <v>-11146317</v>
      </c>
      <c r="D54" s="33">
        <f t="shared" ref="D54:E55" si="33">D56+D58+D60+D62</f>
        <v>-12131376.039999999</v>
      </c>
      <c r="E54" s="33">
        <f t="shared" si="33"/>
        <v>-10498801.720000001</v>
      </c>
      <c r="F54" s="33">
        <f t="shared" ref="F54" si="34">F56+F58+F60+F62</f>
        <v>-10972721.920000002</v>
      </c>
      <c r="G54" s="33">
        <f t="shared" ref="G54" si="35">G56+G58+G60+G62</f>
        <v>1632574.3199999994</v>
      </c>
    </row>
    <row r="55" spans="1:9" ht="15.75" x14ac:dyDescent="0.25">
      <c r="A55" s="34"/>
      <c r="B55" s="37" t="s">
        <v>16</v>
      </c>
      <c r="C55" s="30">
        <f>C57+C59+C61+C63</f>
        <v>-8006141</v>
      </c>
      <c r="D55" s="30">
        <f t="shared" si="33"/>
        <v>-8286324.1299999999</v>
      </c>
      <c r="E55" s="30">
        <f t="shared" si="33"/>
        <v>-7763456.6199999992</v>
      </c>
      <c r="F55" s="30">
        <f t="shared" ref="F55" si="36">F57+F59+F61+F63</f>
        <v>-8147222.4199999999</v>
      </c>
      <c r="G55" s="30">
        <f t="shared" ref="G55" si="37">G57+G59+G61+G63</f>
        <v>522867.51000000036</v>
      </c>
      <c r="H55" s="19"/>
      <c r="I55" s="19"/>
    </row>
    <row r="56" spans="1:9" ht="15.75" x14ac:dyDescent="0.25">
      <c r="A56" s="34" t="s">
        <v>37</v>
      </c>
      <c r="B56" s="37"/>
      <c r="C56" s="30">
        <f>LISA!D527</f>
        <v>-1432078</v>
      </c>
      <c r="D56" s="30">
        <f>LISA!E527</f>
        <v>-1346986.41</v>
      </c>
      <c r="E56" s="30">
        <f>LISA!F527</f>
        <v>-1050707.1499999999</v>
      </c>
      <c r="F56" s="30">
        <v>-968682.46</v>
      </c>
      <c r="G56" s="30">
        <f t="shared" ref="G56:G63" si="38">E56-D56</f>
        <v>296279.26</v>
      </c>
      <c r="H56" s="19"/>
      <c r="I56" s="19"/>
    </row>
    <row r="57" spans="1:9" ht="15.75" x14ac:dyDescent="0.25">
      <c r="A57" s="34"/>
      <c r="B57" s="37" t="s">
        <v>16</v>
      </c>
      <c r="C57" s="30">
        <f>LISA!D528</f>
        <v>-969401</v>
      </c>
      <c r="D57" s="30">
        <f>LISA!E528</f>
        <v>-945914.16999999993</v>
      </c>
      <c r="E57" s="30">
        <f>LISA!F528</f>
        <v>-771351.36</v>
      </c>
      <c r="F57" s="30">
        <v>-870968.13</v>
      </c>
      <c r="G57" s="30">
        <f t="shared" si="38"/>
        <v>174562.80999999994</v>
      </c>
      <c r="H57" s="19"/>
      <c r="I57" s="19"/>
    </row>
    <row r="58" spans="1:9" ht="15.75" x14ac:dyDescent="0.25">
      <c r="A58" s="34" t="s">
        <v>38</v>
      </c>
      <c r="B58" s="37"/>
      <c r="C58" s="30">
        <f>LISA!D564</f>
        <v>-2967143</v>
      </c>
      <c r="D58" s="30">
        <f>LISA!E564</f>
        <v>-4074595.92</v>
      </c>
      <c r="E58" s="30">
        <f>LISA!F564</f>
        <v>-3413370.0300000007</v>
      </c>
      <c r="F58" s="30">
        <v>-3157516.08</v>
      </c>
      <c r="G58" s="30">
        <f t="shared" si="38"/>
        <v>661225.8899999992</v>
      </c>
      <c r="H58" s="19"/>
      <c r="I58" s="19"/>
    </row>
    <row r="59" spans="1:9" ht="15.75" x14ac:dyDescent="0.25">
      <c r="A59" s="34"/>
      <c r="B59" s="37" t="s">
        <v>16</v>
      </c>
      <c r="C59" s="30">
        <f>LISA!D565</f>
        <v>-2421855</v>
      </c>
      <c r="D59" s="30">
        <f>LISA!E565</f>
        <v>-2652001.3200000003</v>
      </c>
      <c r="E59" s="30">
        <f>LISA!F565</f>
        <v>-2550660.0900000003</v>
      </c>
      <c r="F59" s="30">
        <v>-2476952.02</v>
      </c>
      <c r="G59" s="30">
        <f t="shared" si="38"/>
        <v>101341.22999999998</v>
      </c>
      <c r="H59" s="19"/>
      <c r="I59" s="19"/>
    </row>
    <row r="60" spans="1:9" ht="15.75" x14ac:dyDescent="0.25">
      <c r="A60" s="34" t="s">
        <v>39</v>
      </c>
      <c r="B60" s="37"/>
      <c r="C60" s="30">
        <f>LISA!D603</f>
        <v>-1720050</v>
      </c>
      <c r="D60" s="30">
        <f>LISA!E603</f>
        <v>-1884043.8699999999</v>
      </c>
      <c r="E60" s="30">
        <f>LISA!F603</f>
        <v>-1681537.1199999996</v>
      </c>
      <c r="F60" s="30">
        <v>-1829117.02</v>
      </c>
      <c r="G60" s="30">
        <f t="shared" si="38"/>
        <v>202506.75000000023</v>
      </c>
      <c r="H60" s="19"/>
      <c r="I60" s="19"/>
    </row>
    <row r="61" spans="1:9" ht="15.75" x14ac:dyDescent="0.25">
      <c r="A61" s="34"/>
      <c r="B61" s="37" t="s">
        <v>16</v>
      </c>
      <c r="C61" s="30">
        <f>LISA!D604</f>
        <v>-1580581</v>
      </c>
      <c r="D61" s="30">
        <f>LISA!E604</f>
        <v>-1602297.3499999999</v>
      </c>
      <c r="E61" s="30">
        <f>LISA!F604</f>
        <v>-1524859.3299999996</v>
      </c>
      <c r="F61" s="30">
        <v>-1624407.56</v>
      </c>
      <c r="G61" s="30">
        <f t="shared" si="38"/>
        <v>77438.020000000251</v>
      </c>
      <c r="H61" s="19"/>
      <c r="I61" s="19"/>
    </row>
    <row r="62" spans="1:9" ht="15.75" x14ac:dyDescent="0.25">
      <c r="A62" s="34" t="s">
        <v>40</v>
      </c>
      <c r="B62" s="34"/>
      <c r="C62" s="30">
        <f>LISA!D641</f>
        <v>-5027046</v>
      </c>
      <c r="D62" s="30">
        <f>LISA!E641</f>
        <v>-4825749.84</v>
      </c>
      <c r="E62" s="30">
        <f>LISA!F641</f>
        <v>-4353187.42</v>
      </c>
      <c r="F62" s="30">
        <v>-5017406.3600000003</v>
      </c>
      <c r="G62" s="30">
        <f t="shared" si="38"/>
        <v>472562.41999999993</v>
      </c>
      <c r="H62" s="19"/>
      <c r="I62" s="19"/>
    </row>
    <row r="63" spans="1:9" ht="15.75" x14ac:dyDescent="0.25">
      <c r="A63" s="34"/>
      <c r="B63" s="37" t="s">
        <v>16</v>
      </c>
      <c r="C63" s="30">
        <f>LISA!D642</f>
        <v>-3034304</v>
      </c>
      <c r="D63" s="30">
        <f>LISA!E642</f>
        <v>-3086111.29</v>
      </c>
      <c r="E63" s="30">
        <f>LISA!F642</f>
        <v>-2916585.84</v>
      </c>
      <c r="F63" s="30">
        <v>-3174894.71</v>
      </c>
      <c r="G63" s="30">
        <f t="shared" si="38"/>
        <v>169525.45000000019</v>
      </c>
      <c r="H63" s="19"/>
      <c r="I63" s="19"/>
    </row>
    <row r="64" spans="1:9" ht="15.75" x14ac:dyDescent="0.25">
      <c r="A64" s="41" t="s">
        <v>41</v>
      </c>
      <c r="B64" s="41"/>
      <c r="C64" s="33">
        <f>C66+C68+C70+C72+C74</f>
        <v>-22809893</v>
      </c>
      <c r="D64" s="33">
        <f t="shared" ref="D64:E65" si="39">D66+D68+D70+D72+D74</f>
        <v>-30304916</v>
      </c>
      <c r="E64" s="33">
        <f t="shared" si="39"/>
        <v>-24722436.384</v>
      </c>
      <c r="F64" s="33">
        <f t="shared" ref="F64" si="40">F66+F68+F70+F72+F74</f>
        <v>-26304348.780000001</v>
      </c>
      <c r="G64" s="33">
        <f t="shared" ref="G64" si="41">G66+G68+G70+G72+G74</f>
        <v>5582479.6160000013</v>
      </c>
    </row>
    <row r="65" spans="1:9" ht="15.75" x14ac:dyDescent="0.25">
      <c r="A65" s="42"/>
      <c r="B65" s="37" t="s">
        <v>16</v>
      </c>
      <c r="C65" s="30">
        <f>C67+C69+C71+C73+C75</f>
        <v>-20347440</v>
      </c>
      <c r="D65" s="30">
        <f t="shared" si="39"/>
        <v>-22376045.989999998</v>
      </c>
      <c r="E65" s="30">
        <f t="shared" si="39"/>
        <v>-19659241.649999999</v>
      </c>
      <c r="F65" s="30">
        <f t="shared" ref="F65" si="42">F67+F69+F71+F73+F75</f>
        <v>-22339931.240000002</v>
      </c>
      <c r="G65" s="30">
        <f t="shared" ref="G65" si="43">G67+G69+G71+G73+G75</f>
        <v>2716804.3400000003</v>
      </c>
    </row>
    <row r="66" spans="1:9" ht="15.75" x14ac:dyDescent="0.25">
      <c r="A66" s="42" t="s">
        <v>42</v>
      </c>
      <c r="B66" s="34"/>
      <c r="C66" s="30">
        <f>LISA!D682</f>
        <v>-8346056</v>
      </c>
      <c r="D66" s="35">
        <f>LISA!E682</f>
        <v>-12807535.450000001</v>
      </c>
      <c r="E66" s="30">
        <f>LISA!F682</f>
        <v>-10621944.663999999</v>
      </c>
      <c r="F66" s="30">
        <v>-9355054.8399999999</v>
      </c>
      <c r="G66" s="30">
        <f t="shared" ref="G66:G67" si="44">E66-D66</f>
        <v>2185590.7860000022</v>
      </c>
      <c r="H66" s="19"/>
      <c r="I66" s="19"/>
    </row>
    <row r="67" spans="1:9" ht="15.75" x14ac:dyDescent="0.25">
      <c r="A67" s="42"/>
      <c r="B67" s="37" t="s">
        <v>16</v>
      </c>
      <c r="C67" s="30">
        <f>LISA!D683</f>
        <v>-6133060</v>
      </c>
      <c r="D67" s="35">
        <f>LISA!E683</f>
        <v>-7264224.3700000001</v>
      </c>
      <c r="E67" s="30">
        <f>LISA!F683</f>
        <v>-6188711.3300000001</v>
      </c>
      <c r="F67" s="30">
        <v>-6206751.9400000004</v>
      </c>
      <c r="G67" s="30">
        <f t="shared" si="44"/>
        <v>1075513.04</v>
      </c>
      <c r="H67" s="19"/>
      <c r="I67" s="19"/>
    </row>
    <row r="68" spans="1:9" ht="15.75" x14ac:dyDescent="0.25">
      <c r="A68" s="42" t="s">
        <v>43</v>
      </c>
      <c r="B68" s="37"/>
      <c r="C68" s="30">
        <f>LISA!D741</f>
        <v>-2131964</v>
      </c>
      <c r="D68" s="35">
        <f>LISA!E741</f>
        <v>-3046891.19</v>
      </c>
      <c r="E68" s="30">
        <f>LISA!F741</f>
        <v>-2303040.14</v>
      </c>
      <c r="F68" s="30">
        <v>-3496097.96</v>
      </c>
      <c r="G68" s="30">
        <f t="shared" ref="G68:G75" si="45">E68-D68</f>
        <v>743851.04999999981</v>
      </c>
      <c r="H68" s="19"/>
      <c r="I68" s="19"/>
    </row>
    <row r="69" spans="1:9" ht="15.75" x14ac:dyDescent="0.25">
      <c r="A69" s="42"/>
      <c r="B69" s="37" t="s">
        <v>16</v>
      </c>
      <c r="C69" s="30">
        <f>LISA!D742</f>
        <v>-2069894</v>
      </c>
      <c r="D69" s="35">
        <f>LISA!E742</f>
        <v>-2714379.8499999996</v>
      </c>
      <c r="E69" s="30">
        <f>LISA!F742</f>
        <v>-2041181.74</v>
      </c>
      <c r="F69" s="30">
        <v>-3289559.73</v>
      </c>
      <c r="G69" s="30">
        <f t="shared" si="45"/>
        <v>673198.10999999964</v>
      </c>
      <c r="H69" s="19"/>
      <c r="I69" s="19"/>
    </row>
    <row r="70" spans="1:9" ht="15.75" x14ac:dyDescent="0.25">
      <c r="A70" s="42" t="s">
        <v>44</v>
      </c>
      <c r="B70" s="37"/>
      <c r="C70" s="30">
        <f>LISA!D791</f>
        <v>-695730</v>
      </c>
      <c r="D70" s="35">
        <f>LISA!E791</f>
        <v>-1313746.28</v>
      </c>
      <c r="E70" s="30">
        <f>LISA!F791</f>
        <v>-806466.23999999987</v>
      </c>
      <c r="F70" s="30">
        <v>-863733.97</v>
      </c>
      <c r="G70" s="30">
        <f t="shared" si="45"/>
        <v>507280.04000000015</v>
      </c>
      <c r="H70" s="19"/>
      <c r="I70" s="19"/>
    </row>
    <row r="71" spans="1:9" ht="15.75" x14ac:dyDescent="0.25">
      <c r="A71" s="42"/>
      <c r="B71" s="37" t="s">
        <v>16</v>
      </c>
      <c r="C71" s="30">
        <f>LISA!D792</f>
        <v>-684493</v>
      </c>
      <c r="D71" s="35">
        <f>LISA!E792</f>
        <v>-706729.20000000007</v>
      </c>
      <c r="E71" s="30">
        <f>LISA!F792</f>
        <v>-656943.23999999987</v>
      </c>
      <c r="F71" s="30">
        <v>-574711.89</v>
      </c>
      <c r="G71" s="30">
        <f t="shared" si="45"/>
        <v>49785.960000000196</v>
      </c>
      <c r="H71" s="19"/>
      <c r="I71" s="19"/>
    </row>
    <row r="72" spans="1:9" ht="15.75" x14ac:dyDescent="0.25">
      <c r="A72" s="42" t="s">
        <v>45</v>
      </c>
      <c r="B72" s="37"/>
      <c r="C72" s="30">
        <f>LISA!D819</f>
        <v>-4965427</v>
      </c>
      <c r="D72" s="35">
        <f>LISA!E819</f>
        <v>-6012326.2599999998</v>
      </c>
      <c r="E72" s="30">
        <f>LISA!F819</f>
        <v>-4545597.9700000007</v>
      </c>
      <c r="F72" s="31">
        <v>-5602037.5199999996</v>
      </c>
      <c r="G72" s="30">
        <f t="shared" si="45"/>
        <v>1466728.2899999991</v>
      </c>
      <c r="H72" s="19"/>
      <c r="I72" s="19"/>
    </row>
    <row r="73" spans="1:9" ht="15.75" x14ac:dyDescent="0.25">
      <c r="A73" s="42"/>
      <c r="B73" s="37" t="s">
        <v>16</v>
      </c>
      <c r="C73" s="30">
        <f>LISA!D820</f>
        <v>-4829990</v>
      </c>
      <c r="D73" s="35">
        <f>LISA!E820</f>
        <v>-5013577.37</v>
      </c>
      <c r="E73" s="30">
        <f>LISA!F820</f>
        <v>-4336248.41</v>
      </c>
      <c r="F73" s="30">
        <v>-5292814.93</v>
      </c>
      <c r="G73" s="30">
        <f t="shared" si="45"/>
        <v>677328.96</v>
      </c>
      <c r="H73" s="19"/>
      <c r="I73" s="19"/>
    </row>
    <row r="74" spans="1:9" ht="15.75" x14ac:dyDescent="0.25">
      <c r="A74" s="42" t="s">
        <v>46</v>
      </c>
      <c r="B74" s="37"/>
      <c r="C74" s="30">
        <f>LISA!D845</f>
        <v>-6670716</v>
      </c>
      <c r="D74" s="30">
        <f>LISA!E845</f>
        <v>-7124416.8200000003</v>
      </c>
      <c r="E74" s="30">
        <f>LISA!F845</f>
        <v>-6445387.3700000001</v>
      </c>
      <c r="F74" s="30">
        <v>-6987424.4900000002</v>
      </c>
      <c r="G74" s="30">
        <f t="shared" si="45"/>
        <v>679029.45000000019</v>
      </c>
      <c r="H74" s="19"/>
      <c r="I74" s="19"/>
    </row>
    <row r="75" spans="1:9" ht="15.75" x14ac:dyDescent="0.25">
      <c r="A75" s="42"/>
      <c r="B75" s="37" t="s">
        <v>16</v>
      </c>
      <c r="C75" s="30">
        <f>LISA!D846</f>
        <v>-6630003</v>
      </c>
      <c r="D75" s="30">
        <f>LISA!E846</f>
        <v>-6677135.2000000002</v>
      </c>
      <c r="E75" s="30">
        <f>LISA!F846</f>
        <v>-6436156.9299999997</v>
      </c>
      <c r="F75" s="30">
        <v>-6976092.75</v>
      </c>
      <c r="G75" s="30">
        <f t="shared" si="45"/>
        <v>240978.27000000048</v>
      </c>
      <c r="H75" s="19"/>
      <c r="I75" s="19"/>
    </row>
    <row r="76" spans="1:9" ht="15.75" x14ac:dyDescent="0.25">
      <c r="A76" s="43" t="s">
        <v>47</v>
      </c>
      <c r="B76" s="32"/>
      <c r="C76" s="33">
        <f>C78+C80+C82+C84+C86+C88+C90+C92+C94</f>
        <v>-2410921062</v>
      </c>
      <c r="D76" s="33">
        <f t="shared" ref="D76:E77" si="46">D78+D80+D82+D84+D86+D88+D90+D92+D94</f>
        <v>-2438220013.1399999</v>
      </c>
      <c r="E76" s="33">
        <f t="shared" si="46"/>
        <v>-2432301583.6200004</v>
      </c>
      <c r="F76" s="33">
        <f t="shared" ref="F76" si="47">F78+F80+F82+F84+F86+F88+F90+F92+F94</f>
        <v>-2435615322.3099999</v>
      </c>
      <c r="G76" s="33">
        <f t="shared" ref="G76" si="48">G78+G80+G82+G84+G86+G88+G90+G92+G94</f>
        <v>5918429.5199997919</v>
      </c>
    </row>
    <row r="77" spans="1:9" ht="15.75" x14ac:dyDescent="0.25">
      <c r="A77" s="34"/>
      <c r="B77" s="37" t="s">
        <v>16</v>
      </c>
      <c r="C77" s="30">
        <f>C79+C81+C83+C85+C87+C89+C91+C93+C95</f>
        <v>-45261611</v>
      </c>
      <c r="D77" s="30">
        <f t="shared" si="46"/>
        <v>-61928480.019999996</v>
      </c>
      <c r="E77" s="30">
        <f t="shared" si="46"/>
        <v>-53972157.439999998</v>
      </c>
      <c r="F77" s="30">
        <f t="shared" ref="F77" si="49">F79+F81+F83+F85+F87+F89+F91+F93+F95</f>
        <v>-180155666.69</v>
      </c>
      <c r="G77" s="30">
        <f t="shared" ref="G77" si="50">G79+G81+G83+G85+G87+G89+G91+G93+G95</f>
        <v>7956322.5800000001</v>
      </c>
      <c r="H77" s="19"/>
      <c r="I77" s="19"/>
    </row>
    <row r="78" spans="1:9" ht="15.75" x14ac:dyDescent="0.25">
      <c r="A78" s="34" t="s">
        <v>48</v>
      </c>
      <c r="B78" s="37"/>
      <c r="C78" s="30">
        <f>LISA!D882</f>
        <v>-2787435</v>
      </c>
      <c r="D78" s="30">
        <f>LISA!E882</f>
        <v>-3526126.95</v>
      </c>
      <c r="E78" s="30">
        <f>LISA!F882</f>
        <v>-2841640.7099999995</v>
      </c>
      <c r="F78" s="30">
        <v>-3459379.72</v>
      </c>
      <c r="G78" s="30">
        <f t="shared" ref="G78:G95" si="51">E78-D78</f>
        <v>684486.24000000069</v>
      </c>
      <c r="H78" s="19"/>
      <c r="I78" s="19"/>
    </row>
    <row r="79" spans="1:9" ht="15.75" x14ac:dyDescent="0.25">
      <c r="A79" s="34"/>
      <c r="B79" s="37" t="s">
        <v>16</v>
      </c>
      <c r="C79" s="30">
        <f>LISA!D883</f>
        <v>-2484216</v>
      </c>
      <c r="D79" s="30">
        <f>LISA!E883</f>
        <v>-2754880.69</v>
      </c>
      <c r="E79" s="30">
        <f>LISA!F883</f>
        <v>-2060560.78</v>
      </c>
      <c r="F79" s="30">
        <v>-2851679.4</v>
      </c>
      <c r="G79" s="30">
        <f t="shared" si="51"/>
        <v>694319.90999999992</v>
      </c>
      <c r="H79" s="19"/>
      <c r="I79" s="19"/>
    </row>
    <row r="80" spans="1:9" ht="15.75" x14ac:dyDescent="0.25">
      <c r="A80" s="34" t="s">
        <v>49</v>
      </c>
      <c r="B80" s="37"/>
      <c r="C80" s="30">
        <f>LISA!D921</f>
        <v>-16053490</v>
      </c>
      <c r="D80" s="30">
        <f>LISA!E921</f>
        <v>-29221986.57</v>
      </c>
      <c r="E80" s="30">
        <f>LISA!F921</f>
        <v>-26150794.640000001</v>
      </c>
      <c r="F80" s="30">
        <v>-37721000.640000001</v>
      </c>
      <c r="G80" s="30">
        <f t="shared" si="51"/>
        <v>3071191.9299999997</v>
      </c>
      <c r="H80" s="19"/>
      <c r="I80" s="19"/>
    </row>
    <row r="81" spans="1:11" ht="15.75" x14ac:dyDescent="0.25">
      <c r="A81" s="34"/>
      <c r="B81" s="37" t="s">
        <v>16</v>
      </c>
      <c r="C81" s="30">
        <f>LISA!D922</f>
        <v>-3423944</v>
      </c>
      <c r="D81" s="30">
        <f>LISA!E922</f>
        <v>-9082277.8200000003</v>
      </c>
      <c r="E81" s="30">
        <f>LISA!F922</f>
        <v>-6011085.9000000004</v>
      </c>
      <c r="F81" s="30">
        <f>-9663664.12-1</f>
        <v>-9663665.1199999992</v>
      </c>
      <c r="G81" s="30">
        <f t="shared" si="51"/>
        <v>3071191.92</v>
      </c>
      <c r="H81" s="19"/>
      <c r="I81" s="19"/>
    </row>
    <row r="82" spans="1:11" ht="15.75" x14ac:dyDescent="0.25">
      <c r="A82" s="34" t="s">
        <v>50</v>
      </c>
      <c r="B82" s="37"/>
      <c r="C82" s="30">
        <f>LISA!D937</f>
        <v>-6940752</v>
      </c>
      <c r="D82" s="30">
        <f>LISA!E937</f>
        <v>-7483526.370000001</v>
      </c>
      <c r="E82" s="30">
        <f>LISA!F937</f>
        <v>-6408253.8899999997</v>
      </c>
      <c r="F82" s="30">
        <v>-5711862.1600000001</v>
      </c>
      <c r="G82" s="30">
        <f t="shared" si="51"/>
        <v>1075272.4800000014</v>
      </c>
      <c r="H82" s="19"/>
      <c r="I82" s="19"/>
    </row>
    <row r="83" spans="1:11" ht="15.75" x14ac:dyDescent="0.25">
      <c r="A83" s="34"/>
      <c r="B83" s="37" t="s">
        <v>16</v>
      </c>
      <c r="C83" s="30">
        <f>LISA!D938</f>
        <v>-5440666</v>
      </c>
      <c r="D83" s="30">
        <f>LISA!E938</f>
        <v>-5983196.6600000011</v>
      </c>
      <c r="E83" s="30">
        <f>LISA!F938</f>
        <v>-5676072.0999999996</v>
      </c>
      <c r="F83" s="30">
        <v>-5267595.57</v>
      </c>
      <c r="G83" s="30">
        <f t="shared" si="51"/>
        <v>307124.56000000145</v>
      </c>
      <c r="H83" s="19"/>
      <c r="I83" s="19"/>
    </row>
    <row r="84" spans="1:11" ht="15.75" x14ac:dyDescent="0.25">
      <c r="A84" s="34" t="s">
        <v>51</v>
      </c>
      <c r="B84" s="37"/>
      <c r="C84" s="30">
        <f>LISA!D970</f>
        <v>-23168000</v>
      </c>
      <c r="D84" s="30">
        <f>LISA!E970</f>
        <v>-18654778.84</v>
      </c>
      <c r="E84" s="30">
        <f>LISA!F970</f>
        <v>-17201243.360000003</v>
      </c>
      <c r="F84" s="30">
        <v>-10305145.33</v>
      </c>
      <c r="G84" s="30">
        <f t="shared" si="51"/>
        <v>1453535.4799999967</v>
      </c>
      <c r="H84" s="19"/>
      <c r="I84" s="19"/>
    </row>
    <row r="85" spans="1:11" ht="15.75" x14ac:dyDescent="0.25">
      <c r="A85" s="34"/>
      <c r="B85" s="37" t="s">
        <v>16</v>
      </c>
      <c r="C85" s="30">
        <f>LISA!D971</f>
        <v>-7682236</v>
      </c>
      <c r="D85" s="30">
        <f>LISA!E971</f>
        <v>-12448810.35</v>
      </c>
      <c r="E85" s="30">
        <f>LISA!F971</f>
        <v>-11450240.300000001</v>
      </c>
      <c r="F85" s="30">
        <v>-10501975.300000001</v>
      </c>
      <c r="G85" s="30">
        <f t="shared" si="51"/>
        <v>998570.04999999888</v>
      </c>
      <c r="H85" s="19"/>
      <c r="I85" s="19"/>
    </row>
    <row r="86" spans="1:11" ht="15.75" x14ac:dyDescent="0.25">
      <c r="A86" s="34" t="s">
        <v>52</v>
      </c>
      <c r="B86" s="37"/>
      <c r="C86" s="30">
        <f>LISA!D1024</f>
        <v>-4551239</v>
      </c>
      <c r="D86" s="30">
        <f>LISA!E1024</f>
        <v>-5974079.3399999989</v>
      </c>
      <c r="E86" s="30">
        <f>LISA!F1024</f>
        <v>-4474650.92</v>
      </c>
      <c r="F86" s="30">
        <v>-4408496.17</v>
      </c>
      <c r="G86" s="30">
        <f t="shared" si="51"/>
        <v>1499428.419999999</v>
      </c>
      <c r="H86" s="19"/>
      <c r="I86" s="19"/>
    </row>
    <row r="87" spans="1:11" ht="15.75" x14ac:dyDescent="0.25">
      <c r="A87" s="34"/>
      <c r="B87" s="37" t="s">
        <v>16</v>
      </c>
      <c r="C87" s="30">
        <f>LISA!D1025</f>
        <v>-4003503</v>
      </c>
      <c r="D87" s="30">
        <f>LISA!E1025</f>
        <v>-4711713.4399999995</v>
      </c>
      <c r="E87" s="30">
        <f>LISA!F1025</f>
        <v>-4067364.51</v>
      </c>
      <c r="F87" s="30">
        <v>-3736041.03</v>
      </c>
      <c r="G87" s="30">
        <f t="shared" si="51"/>
        <v>644348.9299999997</v>
      </c>
      <c r="H87" s="19"/>
      <c r="I87" s="19"/>
    </row>
    <row r="88" spans="1:11" ht="15.75" x14ac:dyDescent="0.25">
      <c r="A88" s="34" t="s">
        <v>53</v>
      </c>
      <c r="B88" s="37"/>
      <c r="C88" s="30">
        <f>LISA!D1073</f>
        <v>-2342267511</v>
      </c>
      <c r="D88" s="35">
        <f>LISA!E1073</f>
        <v>-2350523306.4899998</v>
      </c>
      <c r="E88" s="30">
        <f>LISA!F1073</f>
        <v>-2360394328.52</v>
      </c>
      <c r="F88" s="30">
        <v>-2358717064.7600002</v>
      </c>
      <c r="G88" s="30">
        <f t="shared" si="51"/>
        <v>-9871022.0300002098</v>
      </c>
      <c r="H88" s="19"/>
      <c r="I88" s="19"/>
    </row>
    <row r="89" spans="1:11" ht="15.75" x14ac:dyDescent="0.25">
      <c r="A89" s="34"/>
      <c r="B89" s="37" t="s">
        <v>16</v>
      </c>
      <c r="C89" s="30">
        <f>LISA!D1074</f>
        <v>-14705990</v>
      </c>
      <c r="D89" s="35">
        <f>LISA!E1074</f>
        <v>-19275273.289999999</v>
      </c>
      <c r="E89" s="30">
        <f>LISA!F1074</f>
        <v>-17667909.969999999</v>
      </c>
      <c r="F89" s="30">
        <v>-139514594.09</v>
      </c>
      <c r="G89" s="30">
        <f t="shared" si="51"/>
        <v>1607363.3200000003</v>
      </c>
      <c r="H89" s="19"/>
      <c r="I89" s="19"/>
    </row>
    <row r="90" spans="1:11" ht="15.75" x14ac:dyDescent="0.25">
      <c r="A90" s="34" t="s">
        <v>54</v>
      </c>
      <c r="B90" s="37"/>
      <c r="C90" s="30">
        <f>LISA!D1114</f>
        <v>-907300</v>
      </c>
      <c r="D90" s="30">
        <f>LISA!E1114</f>
        <v>-1284160.8099999998</v>
      </c>
      <c r="E90" s="30">
        <f>LISA!F1114</f>
        <v>-1093650.6499999999</v>
      </c>
      <c r="F90" s="30">
        <v>-946294.99</v>
      </c>
      <c r="G90" s="30">
        <f t="shared" si="51"/>
        <v>190510.15999999992</v>
      </c>
      <c r="H90" s="19"/>
      <c r="I90" s="19"/>
    </row>
    <row r="91" spans="1:11" ht="15.75" x14ac:dyDescent="0.25">
      <c r="A91" s="34"/>
      <c r="B91" s="37" t="s">
        <v>16</v>
      </c>
      <c r="C91" s="30">
        <f>LISA!D1115</f>
        <v>-875594</v>
      </c>
      <c r="D91" s="30">
        <f>LISA!E1115</f>
        <v>-1142579.3899999999</v>
      </c>
      <c r="E91" s="30">
        <f>LISA!F1115</f>
        <v>-951934.08000000007</v>
      </c>
      <c r="F91" s="30">
        <v>-840018.71</v>
      </c>
      <c r="G91" s="30">
        <f t="shared" si="51"/>
        <v>190645.30999999982</v>
      </c>
      <c r="H91" s="19"/>
      <c r="I91" s="19"/>
    </row>
    <row r="92" spans="1:11" ht="15.75" x14ac:dyDescent="0.25">
      <c r="A92" s="34" t="s">
        <v>191</v>
      </c>
      <c r="B92" s="37"/>
      <c r="C92" s="30">
        <f>LISA!D1151</f>
        <v>-10596162</v>
      </c>
      <c r="D92" s="30">
        <f>LISA!E1151</f>
        <v>-16333473.900000002</v>
      </c>
      <c r="E92" s="30">
        <f>LISA!F1151</f>
        <v>-9978736.089999998</v>
      </c>
      <c r="F92" s="30">
        <v>-9871729.8900000006</v>
      </c>
      <c r="G92" s="30">
        <f t="shared" si="51"/>
        <v>6354737.8100000042</v>
      </c>
      <c r="H92" s="19"/>
      <c r="I92" s="19"/>
    </row>
    <row r="93" spans="1:11" ht="15.75" x14ac:dyDescent="0.25">
      <c r="A93" s="34"/>
      <c r="B93" s="37" t="s">
        <v>16</v>
      </c>
      <c r="C93" s="30">
        <f>LISA!D1152</f>
        <v>-3530594</v>
      </c>
      <c r="D93" s="30">
        <f>LISA!E1152</f>
        <v>-3371310.91</v>
      </c>
      <c r="E93" s="30">
        <f>LISA!F1152</f>
        <v>-3231686.8</v>
      </c>
      <c r="F93" s="30">
        <v>-4334979.6900000004</v>
      </c>
      <c r="G93" s="30">
        <f t="shared" si="51"/>
        <v>139624.11000000034</v>
      </c>
      <c r="H93" s="19"/>
      <c r="I93" s="19"/>
    </row>
    <row r="94" spans="1:11" ht="15.75" x14ac:dyDescent="0.25">
      <c r="A94" s="34" t="s">
        <v>55</v>
      </c>
      <c r="B94" s="37"/>
      <c r="C94" s="30">
        <f>LISA!D1201</f>
        <v>-3649173</v>
      </c>
      <c r="D94" s="30">
        <f>LISA!E1201</f>
        <v>-5218573.87</v>
      </c>
      <c r="E94" s="30">
        <f>LISA!F1201</f>
        <v>-3758284.8400000008</v>
      </c>
      <c r="F94" s="30">
        <f>-4474347.65-1</f>
        <v>-4474348.6500000004</v>
      </c>
      <c r="G94" s="30">
        <f t="shared" si="51"/>
        <v>1460289.0299999993</v>
      </c>
      <c r="H94" s="19"/>
      <c r="I94" s="19"/>
    </row>
    <row r="95" spans="1:11" ht="15.75" x14ac:dyDescent="0.25">
      <c r="A95" s="34"/>
      <c r="B95" s="37" t="s">
        <v>16</v>
      </c>
      <c r="C95" s="30">
        <f>LISA!D1202</f>
        <v>-3114868</v>
      </c>
      <c r="D95" s="30">
        <f>LISA!E1202</f>
        <v>-3158437.47</v>
      </c>
      <c r="E95" s="30">
        <f>LISA!F1202</f>
        <v>-2855303.0000000005</v>
      </c>
      <c r="F95" s="30">
        <f>-3445117.78</f>
        <v>-3445117.78</v>
      </c>
      <c r="G95" s="30">
        <f t="shared" si="51"/>
        <v>303134.46999999974</v>
      </c>
      <c r="H95" s="19"/>
      <c r="I95" s="19"/>
    </row>
    <row r="96" spans="1:11" s="14" customFormat="1" ht="15.75" x14ac:dyDescent="0.25">
      <c r="A96" s="76" t="s">
        <v>56</v>
      </c>
      <c r="B96" s="74"/>
      <c r="C96" s="77">
        <f>LISA!D1239</f>
        <v>-8130330</v>
      </c>
      <c r="D96" s="77">
        <f>LISA!E1239</f>
        <v>-8756162.1800000016</v>
      </c>
      <c r="E96" s="77">
        <f>LISA!F1239</f>
        <v>-8508516.7300000004</v>
      </c>
      <c r="F96" s="77">
        <v>-7144115.4800000004</v>
      </c>
      <c r="G96" s="77">
        <f>E96-D96</f>
        <v>247645.45000000112</v>
      </c>
      <c r="H96" s="20"/>
      <c r="I96" s="20"/>
      <c r="J96" s="16"/>
      <c r="K96" s="16"/>
    </row>
    <row r="97" spans="1:11" s="14" customFormat="1" ht="15.75" x14ac:dyDescent="0.25">
      <c r="A97" s="74" t="s">
        <v>57</v>
      </c>
      <c r="B97" s="74"/>
      <c r="C97" s="77">
        <v>-11758377</v>
      </c>
      <c r="D97" s="77">
        <v>-26297086</v>
      </c>
      <c r="E97" s="77">
        <f>-16251834.79-3743752.09</f>
        <v>-19995586.879999999</v>
      </c>
      <c r="F97" s="77">
        <f>-13759761.49-2949615.64</f>
        <v>-16709377.130000001</v>
      </c>
      <c r="G97" s="77">
        <f>E97-D97</f>
        <v>6301499.120000001</v>
      </c>
      <c r="H97" s="20"/>
      <c r="I97" s="20"/>
      <c r="J97" s="16"/>
      <c r="K97" s="16"/>
    </row>
    <row r="98" spans="1:11" ht="15.75" x14ac:dyDescent="0.25">
      <c r="A98" s="34"/>
      <c r="B98" s="37" t="s">
        <v>16</v>
      </c>
      <c r="C98" s="30">
        <v>-5502103</v>
      </c>
      <c r="D98" s="35">
        <v>-5439338</v>
      </c>
      <c r="E98" s="35">
        <v>-3235116.7</v>
      </c>
      <c r="F98" s="30">
        <v>-4576226.88</v>
      </c>
      <c r="G98" s="30">
        <f t="shared" ref="G98:G99" si="52">E98-D98</f>
        <v>2204221.2999999998</v>
      </c>
    </row>
    <row r="99" spans="1:11" ht="15.75" x14ac:dyDescent="0.25">
      <c r="A99" s="34"/>
      <c r="B99" s="37" t="s">
        <v>58</v>
      </c>
      <c r="C99" s="30">
        <v>-2065565</v>
      </c>
      <c r="D99" s="35">
        <f>C99+899958-2632464.99</f>
        <v>-3798071.99</v>
      </c>
      <c r="E99" s="35">
        <v>-3743752.09</v>
      </c>
      <c r="F99" s="30">
        <v>-2949615.64</v>
      </c>
      <c r="G99" s="30">
        <f t="shared" si="52"/>
        <v>54319.900000000373</v>
      </c>
    </row>
    <row r="100" spans="1:11" ht="15.75" x14ac:dyDescent="0.25">
      <c r="A100" s="80" t="s">
        <v>59</v>
      </c>
      <c r="B100" s="80"/>
      <c r="C100" s="81">
        <f>C102</f>
        <v>0</v>
      </c>
      <c r="D100" s="81">
        <f t="shared" ref="D100:G100" si="53">D102</f>
        <v>-15000</v>
      </c>
      <c r="E100" s="81">
        <f t="shared" si="53"/>
        <v>0</v>
      </c>
      <c r="F100" s="81">
        <f t="shared" si="53"/>
        <v>0</v>
      </c>
      <c r="G100" s="81">
        <f t="shared" si="53"/>
        <v>15000</v>
      </c>
    </row>
    <row r="101" spans="1:11" ht="15.75" x14ac:dyDescent="0.25">
      <c r="A101" s="44"/>
      <c r="B101" s="37" t="s">
        <v>16</v>
      </c>
      <c r="C101" s="45">
        <f>C103</f>
        <v>0</v>
      </c>
      <c r="D101" s="45">
        <f t="shared" ref="D101:G101" si="54">D103</f>
        <v>-15000</v>
      </c>
      <c r="E101" s="45">
        <f t="shared" si="54"/>
        <v>0</v>
      </c>
      <c r="F101" s="45">
        <f t="shared" si="54"/>
        <v>0</v>
      </c>
      <c r="G101" s="45">
        <f t="shared" si="54"/>
        <v>15000</v>
      </c>
    </row>
    <row r="102" spans="1:11" ht="15.75" x14ac:dyDescent="0.25">
      <c r="A102" s="46" t="s">
        <v>60</v>
      </c>
      <c r="B102" s="37"/>
      <c r="C102" s="45">
        <v>0</v>
      </c>
      <c r="D102" s="30">
        <v>-15000</v>
      </c>
      <c r="E102" s="45">
        <v>0</v>
      </c>
      <c r="F102" s="45">
        <v>0</v>
      </c>
      <c r="G102" s="45">
        <f t="shared" ref="G102:G103" si="55">E102-D102</f>
        <v>15000</v>
      </c>
      <c r="H102" s="19"/>
      <c r="I102" s="19"/>
    </row>
    <row r="103" spans="1:11" ht="15.75" x14ac:dyDescent="0.25">
      <c r="A103" s="46"/>
      <c r="B103" s="37" t="s">
        <v>16</v>
      </c>
      <c r="C103" s="45">
        <v>0</v>
      </c>
      <c r="D103" s="30">
        <v>-15000</v>
      </c>
      <c r="E103" s="47">
        <v>0</v>
      </c>
      <c r="F103" s="47">
        <v>0</v>
      </c>
      <c r="G103" s="45">
        <f t="shared" si="55"/>
        <v>15000</v>
      </c>
      <c r="H103" s="19"/>
      <c r="I103" s="19"/>
    </row>
    <row r="104" spans="1:11" ht="15.75" x14ac:dyDescent="0.25">
      <c r="A104" s="78" t="s">
        <v>61</v>
      </c>
      <c r="B104" s="78"/>
      <c r="C104" s="77"/>
      <c r="D104" s="77"/>
      <c r="E104" s="77">
        <f>SUM(E105:E115)</f>
        <v>5396337631.8300009</v>
      </c>
      <c r="F104" s="77">
        <f>SUM(F105:F115)</f>
        <v>5050863875.1099997</v>
      </c>
      <c r="G104" s="77"/>
    </row>
    <row r="105" spans="1:11" ht="15.75" x14ac:dyDescent="0.25">
      <c r="A105" s="32"/>
      <c r="B105" s="48" t="s">
        <v>62</v>
      </c>
      <c r="C105" s="33"/>
      <c r="D105" s="33"/>
      <c r="E105" s="35">
        <f>5401649404.38+3818679.2</f>
        <v>5405468083.5799999</v>
      </c>
      <c r="F105" s="30">
        <f>5069282057.87-69223.54</f>
        <v>5069212834.3299999</v>
      </c>
      <c r="G105" s="33"/>
    </row>
    <row r="106" spans="1:11" ht="15.75" x14ac:dyDescent="0.25">
      <c r="A106" s="34"/>
      <c r="B106" s="48" t="s">
        <v>63</v>
      </c>
      <c r="C106" s="30"/>
      <c r="D106" s="30"/>
      <c r="E106" s="35">
        <f>-2616115246.49+2611139373.51-1968885.83</f>
        <v>-6944758.8099995423</v>
      </c>
      <c r="F106" s="30">
        <f>-2428375976.09+69223.54+2424409020.91</f>
        <v>-3897731.6400003433</v>
      </c>
      <c r="G106" s="30"/>
    </row>
    <row r="107" spans="1:11" ht="15.75" x14ac:dyDescent="0.25">
      <c r="A107" s="34"/>
      <c r="B107" s="48" t="s">
        <v>64</v>
      </c>
      <c r="C107" s="30"/>
      <c r="D107" s="30"/>
      <c r="E107" s="35">
        <v>-109439530.2</v>
      </c>
      <c r="F107" s="30">
        <v>-97621136</v>
      </c>
      <c r="G107" s="30"/>
    </row>
    <row r="108" spans="1:11" ht="15.75" x14ac:dyDescent="0.25">
      <c r="A108" s="34"/>
      <c r="B108" s="48" t="s">
        <v>65</v>
      </c>
      <c r="C108" s="30"/>
      <c r="D108" s="30"/>
      <c r="E108" s="35">
        <v>2931484.94</v>
      </c>
      <c r="F108" s="30">
        <v>1525835.09</v>
      </c>
      <c r="G108" s="30"/>
    </row>
    <row r="109" spans="1:11" ht="15.75" x14ac:dyDescent="0.25">
      <c r="A109" s="34"/>
      <c r="B109" s="48" t="s">
        <v>66</v>
      </c>
      <c r="C109" s="30"/>
      <c r="D109" s="30"/>
      <c r="E109" s="35">
        <f>-4949.46-34646.19</f>
        <v>-39595.65</v>
      </c>
      <c r="F109" s="30">
        <v>0</v>
      </c>
      <c r="G109" s="30"/>
    </row>
    <row r="110" spans="1:11" ht="15.75" x14ac:dyDescent="0.25">
      <c r="A110" s="34"/>
      <c r="B110" s="48" t="s">
        <v>67</v>
      </c>
      <c r="C110" s="30"/>
      <c r="D110" s="30"/>
      <c r="E110" s="35">
        <v>34646.19</v>
      </c>
      <c r="F110" s="30">
        <v>0</v>
      </c>
      <c r="G110" s="30"/>
    </row>
    <row r="111" spans="1:11" ht="15.75" x14ac:dyDescent="0.25">
      <c r="A111" s="34"/>
      <c r="B111" s="48" t="s">
        <v>68</v>
      </c>
      <c r="C111" s="30"/>
      <c r="D111" s="30"/>
      <c r="E111" s="35">
        <v>-1595067.83</v>
      </c>
      <c r="F111" s="30">
        <v>0</v>
      </c>
      <c r="G111" s="30"/>
    </row>
    <row r="112" spans="1:11" ht="15.75" x14ac:dyDescent="0.25">
      <c r="A112" s="34"/>
      <c r="B112" s="48" t="s">
        <v>69</v>
      </c>
      <c r="C112" s="30"/>
      <c r="D112" s="30"/>
      <c r="E112" s="35">
        <v>-2782.21</v>
      </c>
      <c r="F112" s="30">
        <v>-46786.38</v>
      </c>
      <c r="G112" s="30"/>
    </row>
    <row r="113" spans="1:7" ht="15.75" x14ac:dyDescent="0.25">
      <c r="A113" s="34"/>
      <c r="B113" s="48" t="s">
        <v>70</v>
      </c>
      <c r="C113" s="30"/>
      <c r="D113" s="30"/>
      <c r="E113" s="35">
        <v>2782.21</v>
      </c>
      <c r="F113" s="30">
        <v>46786.38</v>
      </c>
      <c r="G113" s="30"/>
    </row>
    <row r="114" spans="1:7" ht="15.75" x14ac:dyDescent="0.25">
      <c r="A114" s="34"/>
      <c r="B114" s="48" t="s">
        <v>71</v>
      </c>
      <c r="C114" s="30"/>
      <c r="D114" s="30"/>
      <c r="E114" s="35">
        <v>-34243380.979999997</v>
      </c>
      <c r="F114" s="30">
        <f>-44566992</f>
        <v>-44566992</v>
      </c>
      <c r="G114" s="30"/>
    </row>
    <row r="115" spans="1:7" ht="15.75" x14ac:dyDescent="0.25">
      <c r="A115" s="34"/>
      <c r="B115" s="48" t="s">
        <v>72</v>
      </c>
      <c r="C115" s="30"/>
      <c r="D115" s="30"/>
      <c r="E115" s="35">
        <f>140840599.08-674848.49</f>
        <v>140165750.59</v>
      </c>
      <c r="F115" s="30">
        <f>126211065.33</f>
        <v>126211065.33</v>
      </c>
      <c r="G115" s="30"/>
    </row>
    <row r="116" spans="1:7" ht="15.75" x14ac:dyDescent="0.25">
      <c r="A116" s="82"/>
      <c r="B116" s="83" t="s">
        <v>75</v>
      </c>
      <c r="C116" s="84"/>
      <c r="D116" s="85"/>
      <c r="E116" s="86">
        <v>-1921151736</v>
      </c>
      <c r="F116" s="86">
        <v>-1959331755</v>
      </c>
      <c r="G116" s="87"/>
    </row>
    <row r="117" spans="1:7" ht="15.75" x14ac:dyDescent="0.25">
      <c r="A117" s="82"/>
      <c r="B117" s="83" t="s">
        <v>76</v>
      </c>
      <c r="C117" s="84"/>
      <c r="D117" s="85"/>
      <c r="E117" s="86">
        <v>-1921151735.8599999</v>
      </c>
      <c r="F117" s="86">
        <v>-1959331754.96</v>
      </c>
      <c r="G117" s="8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K1242"/>
  <sheetViews>
    <sheetView zoomScale="96" zoomScaleNormal="96" workbookViewId="0">
      <selection activeCell="K161" sqref="K161"/>
    </sheetView>
  </sheetViews>
  <sheetFormatPr defaultRowHeight="15" x14ac:dyDescent="0.25"/>
  <cols>
    <col min="1" max="2" width="5.7109375" customWidth="1"/>
    <col min="3" max="3" width="73.140625" customWidth="1"/>
    <col min="4" max="4" width="13.85546875" style="2" bestFit="1" customWidth="1"/>
    <col min="5" max="6" width="13.7109375" style="2" bestFit="1" customWidth="1"/>
    <col min="7" max="7" width="13.28515625" style="2" bestFit="1" customWidth="1"/>
    <col min="8" max="8" width="16.85546875" style="9" customWidth="1"/>
    <col min="10" max="10" width="12" bestFit="1" customWidth="1"/>
    <col min="14" max="15" width="9.5703125" bestFit="1" customWidth="1"/>
    <col min="16" max="16" width="9.85546875" customWidth="1"/>
  </cols>
  <sheetData>
    <row r="1" spans="1:9" x14ac:dyDescent="0.25">
      <c r="A1" s="14" t="s">
        <v>77</v>
      </c>
      <c r="B1" s="14"/>
    </row>
    <row r="2" spans="1:9" x14ac:dyDescent="0.25">
      <c r="A2" s="14" t="s">
        <v>78</v>
      </c>
      <c r="B2" s="14"/>
    </row>
    <row r="4" spans="1:9" ht="47.25" x14ac:dyDescent="0.25">
      <c r="A4" s="49"/>
      <c r="B4" s="49"/>
      <c r="C4" s="50"/>
      <c r="D4" s="29" t="s">
        <v>2</v>
      </c>
      <c r="E4" s="29" t="s">
        <v>3</v>
      </c>
      <c r="F4" s="29" t="s">
        <v>4</v>
      </c>
      <c r="G4" s="29" t="s">
        <v>6</v>
      </c>
    </row>
    <row r="5" spans="1:9" ht="15.75" x14ac:dyDescent="0.25">
      <c r="A5" s="74" t="s">
        <v>7</v>
      </c>
      <c r="B5" s="75"/>
      <c r="C5" s="88"/>
      <c r="D5" s="89"/>
      <c r="E5" s="89"/>
      <c r="F5" s="89"/>
      <c r="G5" s="89"/>
      <c r="I5" s="2"/>
    </row>
    <row r="6" spans="1:9" s="14" customFormat="1" ht="15.75" x14ac:dyDescent="0.25">
      <c r="A6" s="76" t="s">
        <v>73</v>
      </c>
      <c r="B6" s="90"/>
      <c r="C6" s="90"/>
      <c r="D6" s="91">
        <f>SUM(D7:D12)</f>
        <v>-7469699390</v>
      </c>
      <c r="E6" s="91">
        <f t="shared" ref="E6:F6" si="0">SUM(E7:E12)</f>
        <v>-7530153593.6399994</v>
      </c>
      <c r="F6" s="91">
        <f t="shared" si="0"/>
        <v>-7393622560.6939993</v>
      </c>
      <c r="G6" s="91">
        <f t="shared" ref="G6:G18" si="1">F6-E6</f>
        <v>136531032.9460001</v>
      </c>
      <c r="H6" s="9"/>
      <c r="I6" s="2"/>
    </row>
    <row r="7" spans="1:9" ht="15.75" x14ac:dyDescent="0.25">
      <c r="A7" s="32"/>
      <c r="B7" s="28" t="s">
        <v>79</v>
      </c>
      <c r="C7" s="28"/>
      <c r="D7" s="52">
        <f>D14+D515</f>
        <v>-197436064</v>
      </c>
      <c r="E7" s="53">
        <f>E14+E515</f>
        <v>-227358602.86999997</v>
      </c>
      <c r="F7" s="52">
        <f>F14+F515</f>
        <v>-205777229.00999999</v>
      </c>
      <c r="G7" s="53">
        <f t="shared" si="1"/>
        <v>21581373.859999985</v>
      </c>
      <c r="I7" s="2"/>
    </row>
    <row r="8" spans="1:9" ht="15.75" x14ac:dyDescent="0.25">
      <c r="A8" s="32"/>
      <c r="B8" s="28" t="s">
        <v>80</v>
      </c>
      <c r="C8" s="28"/>
      <c r="D8" s="52">
        <f t="shared" ref="D8:F10" si="2">D15+D516+D1240</f>
        <v>-1843407179</v>
      </c>
      <c r="E8" s="52">
        <f t="shared" si="2"/>
        <v>-1843407178.77</v>
      </c>
      <c r="F8" s="52">
        <f t="shared" si="2"/>
        <v>-1708714918.0940001</v>
      </c>
      <c r="G8" s="53">
        <f t="shared" si="1"/>
        <v>134692260.67599988</v>
      </c>
      <c r="I8" s="2"/>
    </row>
    <row r="9" spans="1:9" ht="15.75" x14ac:dyDescent="0.25">
      <c r="A9" s="32"/>
      <c r="B9" s="28" t="s">
        <v>81</v>
      </c>
      <c r="C9" s="28"/>
      <c r="D9" s="52">
        <f t="shared" si="2"/>
        <v>-75105968</v>
      </c>
      <c r="E9" s="52">
        <f t="shared" si="2"/>
        <v>-71585179.549999997</v>
      </c>
      <c r="F9" s="52">
        <f t="shared" si="2"/>
        <v>-55938442.829999998</v>
      </c>
      <c r="G9" s="53">
        <f t="shared" si="1"/>
        <v>15646736.719999999</v>
      </c>
      <c r="I9" s="2"/>
    </row>
    <row r="10" spans="1:9" ht="15.75" x14ac:dyDescent="0.25">
      <c r="A10" s="32"/>
      <c r="B10" s="28" t="s">
        <v>82</v>
      </c>
      <c r="C10" s="28"/>
      <c r="D10" s="52">
        <f t="shared" si="2"/>
        <v>-12369321</v>
      </c>
      <c r="E10" s="52">
        <f t="shared" si="2"/>
        <v>-25671774.359999999</v>
      </c>
      <c r="F10" s="52">
        <f t="shared" si="2"/>
        <v>-14999493.310000002</v>
      </c>
      <c r="G10" s="53">
        <f t="shared" si="1"/>
        <v>10672281.049999997</v>
      </c>
      <c r="I10" s="2"/>
    </row>
    <row r="11" spans="1:9" ht="15.75" x14ac:dyDescent="0.25">
      <c r="A11" s="32"/>
      <c r="B11" s="28" t="s">
        <v>83</v>
      </c>
      <c r="C11" s="28"/>
      <c r="D11" s="52">
        <f t="shared" ref="D11:F12" si="3">D18+D519</f>
        <v>-5333271264</v>
      </c>
      <c r="E11" s="52">
        <f t="shared" si="3"/>
        <v>-5354021263.9899998</v>
      </c>
      <c r="F11" s="52">
        <f t="shared" si="3"/>
        <v>-5398523324.7600002</v>
      </c>
      <c r="G11" s="53">
        <f t="shared" si="1"/>
        <v>-44502060.770000458</v>
      </c>
      <c r="I11" s="2"/>
    </row>
    <row r="12" spans="1:9" ht="15.75" x14ac:dyDescent="0.25">
      <c r="A12" s="32"/>
      <c r="B12" s="28" t="s">
        <v>84</v>
      </c>
      <c r="C12" s="28"/>
      <c r="D12" s="52">
        <f t="shared" si="3"/>
        <v>-8109594</v>
      </c>
      <c r="E12" s="52">
        <f t="shared" si="3"/>
        <v>-8109594.0999999996</v>
      </c>
      <c r="F12" s="52">
        <f t="shared" si="3"/>
        <v>-9669152.6900000013</v>
      </c>
      <c r="G12" s="53">
        <f t="shared" si="1"/>
        <v>-1559558.5900000017</v>
      </c>
      <c r="I12" s="2"/>
    </row>
    <row r="13" spans="1:9" s="14" customFormat="1" ht="15.75" x14ac:dyDescent="0.25">
      <c r="A13" s="76" t="s">
        <v>17</v>
      </c>
      <c r="B13" s="90"/>
      <c r="C13" s="90"/>
      <c r="D13" s="91">
        <f>SUM(D14:D19)</f>
        <v>-5016691788</v>
      </c>
      <c r="E13" s="91">
        <f>SUM(E14:E19)</f>
        <v>-5040741126.2799997</v>
      </c>
      <c r="F13" s="91">
        <f>SUM(F14:F19)</f>
        <v>-4917591222.2400007</v>
      </c>
      <c r="G13" s="91">
        <f t="shared" si="1"/>
        <v>123149904.03999901</v>
      </c>
      <c r="H13" s="9"/>
      <c r="I13" s="2"/>
    </row>
    <row r="14" spans="1:9" ht="15.75" x14ac:dyDescent="0.25">
      <c r="A14" s="32"/>
      <c r="B14" s="28" t="s">
        <v>79</v>
      </c>
      <c r="C14" s="28"/>
      <c r="D14" s="52">
        <f t="shared" ref="D14:F15" si="4">D21+D77+D167+D301</f>
        <v>-123820872</v>
      </c>
      <c r="E14" s="52">
        <f t="shared" si="4"/>
        <v>-134767752.72999999</v>
      </c>
      <c r="F14" s="52">
        <f t="shared" si="4"/>
        <v>-124382373.30000001</v>
      </c>
      <c r="G14" s="52">
        <f t="shared" si="1"/>
        <v>10385379.429999977</v>
      </c>
      <c r="I14" s="2"/>
    </row>
    <row r="15" spans="1:9" ht="15.75" x14ac:dyDescent="0.25">
      <c r="A15" s="32"/>
      <c r="B15" s="28" t="s">
        <v>80</v>
      </c>
      <c r="C15" s="28"/>
      <c r="D15" s="52">
        <f t="shared" si="4"/>
        <v>-1520054287</v>
      </c>
      <c r="E15" s="52">
        <f t="shared" si="4"/>
        <v>-1520054286.77</v>
      </c>
      <c r="F15" s="52">
        <f t="shared" si="4"/>
        <v>-1390317014.4600003</v>
      </c>
      <c r="G15" s="52">
        <f t="shared" si="1"/>
        <v>129737272.3099997</v>
      </c>
      <c r="I15" s="2"/>
    </row>
    <row r="16" spans="1:9" ht="15.75" x14ac:dyDescent="0.25">
      <c r="A16" s="32"/>
      <c r="B16" s="28" t="s">
        <v>81</v>
      </c>
      <c r="C16" s="28"/>
      <c r="D16" s="52">
        <f>D79+D169+D303</f>
        <v>-42668337</v>
      </c>
      <c r="E16" s="52">
        <f>E79+E169+E303+E23</f>
        <v>-34955423.5</v>
      </c>
      <c r="F16" s="52">
        <f>F79+F169+F303+E23</f>
        <v>-24175135.93</v>
      </c>
      <c r="G16" s="52">
        <f t="shared" si="1"/>
        <v>10780287.57</v>
      </c>
      <c r="I16" s="2"/>
    </row>
    <row r="17" spans="1:9" ht="15.75" x14ac:dyDescent="0.25">
      <c r="A17" s="32"/>
      <c r="B17" s="28" t="s">
        <v>82</v>
      </c>
      <c r="C17" s="28"/>
      <c r="D17" s="52">
        <f>D24+D80+D170+D304</f>
        <v>-94872</v>
      </c>
      <c r="E17" s="52">
        <f>E24+E80+E170+E304</f>
        <v>-160243.62</v>
      </c>
      <c r="F17" s="52">
        <f>F24+F80+F170+F304</f>
        <v>-141051.98000000001</v>
      </c>
      <c r="G17" s="52">
        <f t="shared" si="1"/>
        <v>19191.639999999985</v>
      </c>
      <c r="I17" s="2"/>
    </row>
    <row r="18" spans="1:9" ht="15.75" x14ac:dyDescent="0.25">
      <c r="A18" s="32"/>
      <c r="B18" s="28" t="s">
        <v>83</v>
      </c>
      <c r="C18" s="28"/>
      <c r="D18" s="52">
        <f>D81</f>
        <v>-3325392304</v>
      </c>
      <c r="E18" s="52">
        <f t="shared" ref="E18:F18" si="5">E81</f>
        <v>-3346142303.9899998</v>
      </c>
      <c r="F18" s="52">
        <f t="shared" si="5"/>
        <v>-3373147397.7700005</v>
      </c>
      <c r="G18" s="52">
        <f t="shared" si="1"/>
        <v>-27005093.780000687</v>
      </c>
      <c r="I18" s="2"/>
    </row>
    <row r="19" spans="1:9" ht="15.75" x14ac:dyDescent="0.25">
      <c r="A19" s="32"/>
      <c r="B19" s="28" t="s">
        <v>85</v>
      </c>
      <c r="C19" s="28"/>
      <c r="D19" s="52">
        <f>D25+D82+D171+D305</f>
        <v>-4661116</v>
      </c>
      <c r="E19" s="52">
        <f>E25+E82+E171+E305</f>
        <v>-4661115.67</v>
      </c>
      <c r="F19" s="52">
        <f>F25+F82+F171+F305</f>
        <v>-5428248.7999999998</v>
      </c>
      <c r="G19" s="52">
        <f t="shared" ref="G19:G29" si="6">F19-E19</f>
        <v>-767133.12999999989</v>
      </c>
      <c r="I19" s="2"/>
    </row>
    <row r="20" spans="1:9" s="14" customFormat="1" ht="15.75" x14ac:dyDescent="0.25">
      <c r="A20" s="41" t="s">
        <v>86</v>
      </c>
      <c r="B20" s="51"/>
      <c r="C20" s="51"/>
      <c r="D20" s="54">
        <f>SUM(D21:D25)</f>
        <v>-15105894</v>
      </c>
      <c r="E20" s="54">
        <f>SUM(E21:E25)</f>
        <v>-15645565</v>
      </c>
      <c r="F20" s="54">
        <f>SUM(F21:F25)</f>
        <v>-16213044</v>
      </c>
      <c r="G20" s="52">
        <f t="shared" si="6"/>
        <v>-567479</v>
      </c>
      <c r="H20" s="9"/>
      <c r="I20" s="2"/>
    </row>
    <row r="21" spans="1:9" ht="15.75" x14ac:dyDescent="0.25">
      <c r="A21" s="34"/>
      <c r="B21" s="28" t="s">
        <v>79</v>
      </c>
      <c r="C21" s="28"/>
      <c r="D21" s="52">
        <f>D27+D41</f>
        <v>-1645287</v>
      </c>
      <c r="E21" s="52">
        <f t="shared" ref="E21:F21" si="7">E27+E41</f>
        <v>-1601649</v>
      </c>
      <c r="F21" s="52">
        <f t="shared" si="7"/>
        <v>-1443088</v>
      </c>
      <c r="G21" s="52">
        <f t="shared" si="6"/>
        <v>158561</v>
      </c>
      <c r="I21" s="2"/>
    </row>
    <row r="22" spans="1:9" ht="15.75" x14ac:dyDescent="0.25">
      <c r="A22" s="34"/>
      <c r="B22" s="28" t="s">
        <v>80</v>
      </c>
      <c r="C22" s="28"/>
      <c r="D22" s="52">
        <f>D42</f>
        <v>-12609519</v>
      </c>
      <c r="E22" s="52">
        <f t="shared" ref="E22" si="8">E42</f>
        <v>-12609519</v>
      </c>
      <c r="F22" s="52">
        <f>F42+F38</f>
        <v>-13331314</v>
      </c>
      <c r="G22" s="52">
        <f t="shared" si="6"/>
        <v>-721795</v>
      </c>
      <c r="I22" s="2"/>
    </row>
    <row r="23" spans="1:9" ht="15.75" x14ac:dyDescent="0.25">
      <c r="A23" s="34"/>
      <c r="B23" s="28" t="s">
        <v>81</v>
      </c>
      <c r="C23" s="28"/>
      <c r="D23" s="52">
        <f>D70</f>
        <v>0</v>
      </c>
      <c r="E23" s="52">
        <f>E70</f>
        <v>-583871</v>
      </c>
      <c r="F23" s="52">
        <f>F70</f>
        <v>-583871</v>
      </c>
      <c r="G23" s="52">
        <f t="shared" si="6"/>
        <v>0</v>
      </c>
      <c r="I23" s="2"/>
    </row>
    <row r="24" spans="1:9" x14ac:dyDescent="0.25">
      <c r="A24" s="28"/>
      <c r="B24" s="28" t="s">
        <v>82</v>
      </c>
      <c r="C24" s="28"/>
      <c r="D24" s="52">
        <f>D44</f>
        <v>-562</v>
      </c>
      <c r="E24" s="52">
        <f t="shared" ref="E24:F24" si="9">E44</f>
        <v>0</v>
      </c>
      <c r="F24" s="52">
        <f t="shared" si="9"/>
        <v>0</v>
      </c>
      <c r="G24" s="52">
        <f t="shared" si="6"/>
        <v>0</v>
      </c>
      <c r="I24" s="2"/>
    </row>
    <row r="25" spans="1:9" x14ac:dyDescent="0.25">
      <c r="A25" s="28"/>
      <c r="B25" s="28" t="s">
        <v>85</v>
      </c>
      <c r="C25" s="28"/>
      <c r="D25" s="52">
        <f>D29+D45</f>
        <v>-850526</v>
      </c>
      <c r="E25" s="52">
        <f t="shared" ref="E25:F25" si="10">E29+E45</f>
        <v>-850526</v>
      </c>
      <c r="F25" s="52">
        <f t="shared" si="10"/>
        <v>-854771</v>
      </c>
      <c r="G25" s="52">
        <f t="shared" si="6"/>
        <v>-4245</v>
      </c>
      <c r="I25" s="2"/>
    </row>
    <row r="26" spans="1:9" s="14" customFormat="1" ht="15.75" x14ac:dyDescent="0.25">
      <c r="A26" s="39" t="s">
        <v>87</v>
      </c>
      <c r="B26" s="51"/>
      <c r="C26" s="51"/>
      <c r="D26" s="55">
        <f>SUM(D27:D29)</f>
        <v>-351521</v>
      </c>
      <c r="E26" s="55">
        <f>SUM(E27:E29)</f>
        <v>-446471</v>
      </c>
      <c r="F26" s="55">
        <f>SUM(F27:F29)</f>
        <v>-422363</v>
      </c>
      <c r="G26" s="55">
        <f t="shared" si="6"/>
        <v>24108</v>
      </c>
      <c r="H26" s="9"/>
      <c r="I26" s="2"/>
    </row>
    <row r="27" spans="1:9" x14ac:dyDescent="0.25">
      <c r="A27" s="28"/>
      <c r="B27" s="28" t="s">
        <v>79</v>
      </c>
      <c r="C27" s="28"/>
      <c r="D27" s="53">
        <f>D34</f>
        <v>-305505</v>
      </c>
      <c r="E27" s="53">
        <f t="shared" ref="E27:F27" si="11">E34</f>
        <v>-400455</v>
      </c>
      <c r="F27" s="53">
        <f t="shared" si="11"/>
        <v>-369246</v>
      </c>
      <c r="G27" s="53">
        <f t="shared" si="6"/>
        <v>31209</v>
      </c>
      <c r="I27" s="2"/>
    </row>
    <row r="28" spans="1:9" x14ac:dyDescent="0.25">
      <c r="A28" s="28"/>
      <c r="B28" s="51" t="s">
        <v>80</v>
      </c>
      <c r="C28" s="28"/>
      <c r="D28" s="53">
        <f>D37</f>
        <v>0</v>
      </c>
      <c r="E28" s="53">
        <f>E37</f>
        <v>0</v>
      </c>
      <c r="F28" s="53">
        <f>F37</f>
        <v>-7</v>
      </c>
      <c r="G28" s="53">
        <f t="shared" si="6"/>
        <v>-7</v>
      </c>
      <c r="I28" s="2"/>
    </row>
    <row r="29" spans="1:9" x14ac:dyDescent="0.25">
      <c r="A29" s="28"/>
      <c r="B29" s="28" t="s">
        <v>85</v>
      </c>
      <c r="C29" s="28"/>
      <c r="D29" s="53">
        <f>D39</f>
        <v>-46016</v>
      </c>
      <c r="E29" s="53">
        <f t="shared" ref="E29:F29" si="12">E39</f>
        <v>-46016</v>
      </c>
      <c r="F29" s="53">
        <f t="shared" si="12"/>
        <v>-53110</v>
      </c>
      <c r="G29" s="53">
        <f t="shared" si="6"/>
        <v>-7094</v>
      </c>
      <c r="I29" s="2"/>
    </row>
    <row r="30" spans="1:9" x14ac:dyDescent="0.25">
      <c r="A30" s="51"/>
      <c r="B30" s="51" t="s">
        <v>88</v>
      </c>
      <c r="C30" s="51"/>
      <c r="D30" s="55">
        <f>SUM(D31:D33)</f>
        <v>-351521</v>
      </c>
      <c r="E30" s="55">
        <f>SUM(E31:E33)</f>
        <v>-446471</v>
      </c>
      <c r="F30" s="54">
        <f>SUM(F31:F33)</f>
        <v>-422363</v>
      </c>
      <c r="G30" s="55">
        <f>F30-E30</f>
        <v>24108</v>
      </c>
      <c r="I30" s="2"/>
    </row>
    <row r="31" spans="1:9" x14ac:dyDescent="0.25">
      <c r="A31" s="28"/>
      <c r="B31" s="28"/>
      <c r="C31" s="56" t="s">
        <v>89</v>
      </c>
      <c r="D31" s="53">
        <f>D35</f>
        <v>-149756</v>
      </c>
      <c r="E31" s="53">
        <f>E35</f>
        <v>-195853</v>
      </c>
      <c r="F31" s="52">
        <f t="shared" ref="F31" si="13">F35</f>
        <v>-189167</v>
      </c>
      <c r="G31" s="53">
        <f t="shared" ref="G31:G33" si="14">F31-E31</f>
        <v>6686</v>
      </c>
      <c r="I31" s="2"/>
    </row>
    <row r="32" spans="1:9" x14ac:dyDescent="0.25">
      <c r="A32" s="28"/>
      <c r="B32" s="28"/>
      <c r="C32" s="28" t="s">
        <v>90</v>
      </c>
      <c r="D32" s="53">
        <f>D36</f>
        <v>-155749</v>
      </c>
      <c r="E32" s="53">
        <f t="shared" ref="E32:F32" si="15">E36</f>
        <v>-204602</v>
      </c>
      <c r="F32" s="52">
        <f t="shared" si="15"/>
        <v>-180079</v>
      </c>
      <c r="G32" s="53">
        <f t="shared" si="14"/>
        <v>24523</v>
      </c>
      <c r="I32" s="2"/>
    </row>
    <row r="33" spans="1:9" x14ac:dyDescent="0.25">
      <c r="A33" s="28"/>
      <c r="B33" s="28"/>
      <c r="C33" s="28" t="s">
        <v>91</v>
      </c>
      <c r="D33" s="53">
        <f>D39</f>
        <v>-46016</v>
      </c>
      <c r="E33" s="53">
        <f t="shared" ref="E33" si="16">E39</f>
        <v>-46016</v>
      </c>
      <c r="F33" s="52">
        <f>F39+F38</f>
        <v>-53117</v>
      </c>
      <c r="G33" s="53">
        <f t="shared" si="14"/>
        <v>-7101</v>
      </c>
      <c r="I33" s="2"/>
    </row>
    <row r="34" spans="1:9" x14ac:dyDescent="0.25">
      <c r="A34" s="51"/>
      <c r="B34" s="51"/>
      <c r="C34" s="51" t="s">
        <v>79</v>
      </c>
      <c r="D34" s="55">
        <f>SUM(D35:D36)</f>
        <v>-305505</v>
      </c>
      <c r="E34" s="55">
        <f>SUM(E35:E36)</f>
        <v>-400455</v>
      </c>
      <c r="F34" s="54">
        <f>SUM(F35:F36)</f>
        <v>-369246</v>
      </c>
      <c r="G34" s="55">
        <f>F34-E34</f>
        <v>31209</v>
      </c>
      <c r="I34" s="2"/>
    </row>
    <row r="35" spans="1:9" x14ac:dyDescent="0.25">
      <c r="A35" s="28"/>
      <c r="B35" s="28"/>
      <c r="C35" s="28" t="s">
        <v>89</v>
      </c>
      <c r="D35" s="53">
        <v>-149756</v>
      </c>
      <c r="E35" s="53">
        <f>D35-46097</f>
        <v>-195853</v>
      </c>
      <c r="F35" s="52">
        <v>-189167</v>
      </c>
      <c r="G35" s="53">
        <f t="shared" ref="G35:G38" si="17">F35-E35</f>
        <v>6686</v>
      </c>
      <c r="I35" s="2"/>
    </row>
    <row r="36" spans="1:9" x14ac:dyDescent="0.25">
      <c r="A36" s="28"/>
      <c r="B36" s="28"/>
      <c r="C36" s="28" t="s">
        <v>90</v>
      </c>
      <c r="D36" s="53">
        <v>-155749</v>
      </c>
      <c r="E36" s="53">
        <f>D36-48853</f>
        <v>-204602</v>
      </c>
      <c r="F36" s="52">
        <v>-180079</v>
      </c>
      <c r="G36" s="53">
        <f t="shared" si="17"/>
        <v>24523</v>
      </c>
      <c r="I36" s="2"/>
    </row>
    <row r="37" spans="1:9" x14ac:dyDescent="0.25">
      <c r="A37" s="28"/>
      <c r="B37" s="28"/>
      <c r="C37" s="51" t="s">
        <v>80</v>
      </c>
      <c r="D37" s="53">
        <f>D38</f>
        <v>0</v>
      </c>
      <c r="E37" s="53">
        <f>E38</f>
        <v>0</v>
      </c>
      <c r="F37" s="52">
        <f>F38</f>
        <v>-7</v>
      </c>
      <c r="G37" s="53">
        <f t="shared" si="17"/>
        <v>-7</v>
      </c>
      <c r="I37" s="2"/>
    </row>
    <row r="38" spans="1:9" x14ac:dyDescent="0.25">
      <c r="A38" s="28"/>
      <c r="B38" s="28"/>
      <c r="C38" s="28" t="s">
        <v>95</v>
      </c>
      <c r="D38" s="53">
        <v>0</v>
      </c>
      <c r="E38" s="53">
        <v>0</v>
      </c>
      <c r="F38" s="52">
        <v>-7</v>
      </c>
      <c r="G38" s="53">
        <f t="shared" si="17"/>
        <v>-7</v>
      </c>
      <c r="I38" s="2"/>
    </row>
    <row r="39" spans="1:9" s="14" customFormat="1" x14ac:dyDescent="0.25">
      <c r="A39" s="51"/>
      <c r="B39" s="51"/>
      <c r="C39" s="51" t="s">
        <v>85</v>
      </c>
      <c r="D39" s="55">
        <v>-46016</v>
      </c>
      <c r="E39" s="55">
        <f t="shared" ref="E39" si="18">D39</f>
        <v>-46016</v>
      </c>
      <c r="F39" s="54">
        <v>-53110</v>
      </c>
      <c r="G39" s="55">
        <f t="shared" ref="G39:G45" si="19">F39-E39</f>
        <v>-7094</v>
      </c>
      <c r="H39" s="9"/>
      <c r="I39" s="2"/>
    </row>
    <row r="40" spans="1:9" s="14" customFormat="1" ht="15.75" x14ac:dyDescent="0.25">
      <c r="A40" s="39" t="s">
        <v>92</v>
      </c>
      <c r="B40" s="51"/>
      <c r="C40" s="51"/>
      <c r="D40" s="55">
        <f>SUM(D41:D45)</f>
        <v>-14754373</v>
      </c>
      <c r="E40" s="55">
        <f>SUM(E41:E45)</f>
        <v>-15199094</v>
      </c>
      <c r="F40" s="54">
        <f>SUM(F41:F45)</f>
        <v>-15790681</v>
      </c>
      <c r="G40" s="55">
        <f t="shared" si="19"/>
        <v>-591587</v>
      </c>
      <c r="H40" s="9"/>
      <c r="I40" s="2"/>
    </row>
    <row r="41" spans="1:9" x14ac:dyDescent="0.25">
      <c r="A41" s="28"/>
      <c r="B41" s="28" t="s">
        <v>79</v>
      </c>
      <c r="C41" s="28"/>
      <c r="D41" s="53">
        <f>D51+D65</f>
        <v>-1339782</v>
      </c>
      <c r="E41" s="53">
        <f t="shared" ref="E41:F41" si="20">E51+E65</f>
        <v>-1201194</v>
      </c>
      <c r="F41" s="52">
        <f t="shared" si="20"/>
        <v>-1073842</v>
      </c>
      <c r="G41" s="53">
        <f t="shared" si="19"/>
        <v>127352</v>
      </c>
      <c r="I41" s="2"/>
    </row>
    <row r="42" spans="1:9" x14ac:dyDescent="0.25">
      <c r="A42" s="28"/>
      <c r="B42" s="28" t="s">
        <v>80</v>
      </c>
      <c r="C42" s="28"/>
      <c r="D42" s="53">
        <f>D55+D68</f>
        <v>-12609519</v>
      </c>
      <c r="E42" s="53">
        <f>E55+E68</f>
        <v>-12609519</v>
      </c>
      <c r="F42" s="52">
        <f>F55+F68</f>
        <v>-13331307</v>
      </c>
      <c r="G42" s="53">
        <f t="shared" si="19"/>
        <v>-721788</v>
      </c>
      <c r="I42" s="2"/>
    </row>
    <row r="43" spans="1:9" x14ac:dyDescent="0.25">
      <c r="A43" s="28"/>
      <c r="B43" s="28" t="s">
        <v>81</v>
      </c>
      <c r="C43" s="28"/>
      <c r="D43" s="53">
        <f>D70</f>
        <v>0</v>
      </c>
      <c r="E43" s="53">
        <f>E70</f>
        <v>-583871</v>
      </c>
      <c r="F43" s="52">
        <f>F70</f>
        <v>-583871</v>
      </c>
      <c r="G43" s="53">
        <f t="shared" si="19"/>
        <v>0</v>
      </c>
      <c r="I43" s="2"/>
    </row>
    <row r="44" spans="1:9" x14ac:dyDescent="0.25">
      <c r="A44" s="28"/>
      <c r="B44" s="28" t="s">
        <v>82</v>
      </c>
      <c r="C44" s="28"/>
      <c r="D44" s="53">
        <f>D73</f>
        <v>-562</v>
      </c>
      <c r="E44" s="53">
        <f t="shared" ref="E44:F44" si="21">E73</f>
        <v>0</v>
      </c>
      <c r="F44" s="52">
        <f t="shared" si="21"/>
        <v>0</v>
      </c>
      <c r="G44" s="53">
        <f t="shared" si="19"/>
        <v>0</v>
      </c>
      <c r="I44" s="2"/>
    </row>
    <row r="45" spans="1:9" x14ac:dyDescent="0.25">
      <c r="A45" s="28"/>
      <c r="B45" s="28" t="s">
        <v>85</v>
      </c>
      <c r="C45" s="28"/>
      <c r="D45" s="53">
        <f>D60+D75</f>
        <v>-804510</v>
      </c>
      <c r="E45" s="53">
        <f t="shared" ref="E45:F45" si="22">E60+E75</f>
        <v>-804510</v>
      </c>
      <c r="F45" s="52">
        <f t="shared" si="22"/>
        <v>-801661</v>
      </c>
      <c r="G45" s="53">
        <f t="shared" si="19"/>
        <v>2849</v>
      </c>
      <c r="I45" s="2"/>
    </row>
    <row r="46" spans="1:9" x14ac:dyDescent="0.25">
      <c r="A46" s="51"/>
      <c r="B46" s="51" t="s">
        <v>93</v>
      </c>
      <c r="C46" s="51"/>
      <c r="D46" s="55">
        <f>SUM(D47:D50)</f>
        <v>-12735236</v>
      </c>
      <c r="E46" s="55">
        <f>SUM(E47:E50)</f>
        <v>-12774945</v>
      </c>
      <c r="F46" s="54">
        <f>SUM(F47:F50)</f>
        <v>-13485221</v>
      </c>
      <c r="G46" s="55">
        <f>F46-E46</f>
        <v>-710276</v>
      </c>
      <c r="I46" s="2"/>
    </row>
    <row r="47" spans="1:9" x14ac:dyDescent="0.25">
      <c r="A47" s="28"/>
      <c r="B47" s="28"/>
      <c r="C47" s="28" t="s">
        <v>89</v>
      </c>
      <c r="D47" s="53">
        <f>D52</f>
        <v>-109597</v>
      </c>
      <c r="E47" s="53">
        <f t="shared" ref="E47:F47" si="23">E52</f>
        <v>-142068</v>
      </c>
      <c r="F47" s="52">
        <f t="shared" si="23"/>
        <v>-139273</v>
      </c>
      <c r="G47" s="53">
        <f t="shared" ref="G47:G50" si="24">F47-E47</f>
        <v>2795</v>
      </c>
      <c r="I47" s="2"/>
    </row>
    <row r="48" spans="1:9" x14ac:dyDescent="0.25">
      <c r="A48" s="28"/>
      <c r="B48" s="28"/>
      <c r="C48" s="28" t="s">
        <v>90</v>
      </c>
      <c r="D48" s="53">
        <f>D53</f>
        <v>-15829</v>
      </c>
      <c r="E48" s="53">
        <f t="shared" ref="E48:F48" si="25">E53</f>
        <v>-23047</v>
      </c>
      <c r="F48" s="52">
        <f t="shared" si="25"/>
        <v>-14474</v>
      </c>
      <c r="G48" s="53">
        <f t="shared" si="24"/>
        <v>8573</v>
      </c>
      <c r="I48" s="2"/>
    </row>
    <row r="49" spans="1:9" x14ac:dyDescent="0.25">
      <c r="A49" s="28"/>
      <c r="B49" s="28"/>
      <c r="C49" s="28" t="s">
        <v>94</v>
      </c>
      <c r="D49" s="53">
        <f>D55</f>
        <v>-12609519</v>
      </c>
      <c r="E49" s="53">
        <f t="shared" ref="E49:F49" si="26">E55</f>
        <v>-12609519</v>
      </c>
      <c r="F49" s="52">
        <f t="shared" si="26"/>
        <v>-13331285</v>
      </c>
      <c r="G49" s="53">
        <f t="shared" si="24"/>
        <v>-721766</v>
      </c>
      <c r="I49" s="2"/>
    </row>
    <row r="50" spans="1:9" x14ac:dyDescent="0.25">
      <c r="A50" s="28"/>
      <c r="B50" s="28"/>
      <c r="C50" s="28" t="s">
        <v>91</v>
      </c>
      <c r="D50" s="53">
        <f>D60</f>
        <v>-291</v>
      </c>
      <c r="E50" s="53">
        <f>E60+E54</f>
        <v>-311</v>
      </c>
      <c r="F50" s="52">
        <f>F60+F54+F59</f>
        <v>-189</v>
      </c>
      <c r="G50" s="53">
        <f t="shared" si="24"/>
        <v>122</v>
      </c>
      <c r="I50" s="2"/>
    </row>
    <row r="51" spans="1:9" x14ac:dyDescent="0.25">
      <c r="A51" s="51"/>
      <c r="B51" s="51"/>
      <c r="C51" s="51" t="s">
        <v>79</v>
      </c>
      <c r="D51" s="55">
        <f>SUM(D52:D54)</f>
        <v>-125426</v>
      </c>
      <c r="E51" s="55">
        <f>SUM(E52:E54)</f>
        <v>-165135</v>
      </c>
      <c r="F51" s="54">
        <f>SUM(F52:F54)</f>
        <v>-153767</v>
      </c>
      <c r="G51" s="55">
        <f>F51-E51</f>
        <v>11368</v>
      </c>
      <c r="I51" s="2"/>
    </row>
    <row r="52" spans="1:9" x14ac:dyDescent="0.25">
      <c r="A52" s="28"/>
      <c r="B52" s="28"/>
      <c r="C52" s="28" t="s">
        <v>89</v>
      </c>
      <c r="D52" s="53">
        <v>-109597</v>
      </c>
      <c r="E52" s="53">
        <f>D52-32471</f>
        <v>-142068</v>
      </c>
      <c r="F52" s="52">
        <v>-139273</v>
      </c>
      <c r="G52" s="53">
        <f t="shared" ref="G52:G60" si="27">F52-E52</f>
        <v>2795</v>
      </c>
      <c r="I52" s="2"/>
    </row>
    <row r="53" spans="1:9" x14ac:dyDescent="0.25">
      <c r="A53" s="28"/>
      <c r="B53" s="28"/>
      <c r="C53" s="28" t="s">
        <v>90</v>
      </c>
      <c r="D53" s="53">
        <v>-15829</v>
      </c>
      <c r="E53" s="53">
        <f>D53-7218</f>
        <v>-23047</v>
      </c>
      <c r="F53" s="52">
        <v>-14474</v>
      </c>
      <c r="G53" s="53">
        <f t="shared" si="27"/>
        <v>8573</v>
      </c>
      <c r="I53" s="2"/>
    </row>
    <row r="54" spans="1:9" x14ac:dyDescent="0.25">
      <c r="A54" s="28"/>
      <c r="B54" s="28"/>
      <c r="C54" s="56" t="s">
        <v>95</v>
      </c>
      <c r="D54" s="52">
        <v>0</v>
      </c>
      <c r="E54" s="52">
        <v>-20</v>
      </c>
      <c r="F54" s="52">
        <v>-20</v>
      </c>
      <c r="G54" s="52">
        <f t="shared" si="27"/>
        <v>0</v>
      </c>
      <c r="I54" s="2"/>
    </row>
    <row r="55" spans="1:9" s="14" customFormat="1" x14ac:dyDescent="0.25">
      <c r="A55" s="51"/>
      <c r="B55" s="51"/>
      <c r="C55" s="51" t="s">
        <v>80</v>
      </c>
      <c r="D55" s="55">
        <f>D56+E59</f>
        <v>-12609519</v>
      </c>
      <c r="E55" s="55">
        <f>E56+E59</f>
        <v>-12609519</v>
      </c>
      <c r="F55" s="54">
        <f>F56+F59</f>
        <v>-13331285</v>
      </c>
      <c r="G55" s="53">
        <f t="shared" si="27"/>
        <v>-721766</v>
      </c>
      <c r="H55" s="9"/>
      <c r="I55" s="2"/>
    </row>
    <row r="56" spans="1:9" x14ac:dyDescent="0.25">
      <c r="A56" s="28"/>
      <c r="B56" s="28"/>
      <c r="C56" s="28" t="s">
        <v>94</v>
      </c>
      <c r="D56" s="53">
        <f>SUM(D57:D58)</f>
        <v>-12609519</v>
      </c>
      <c r="E56" s="53">
        <f>SUM(E57:E58)</f>
        <v>-12609519</v>
      </c>
      <c r="F56" s="52">
        <f t="shared" ref="F56" si="28">SUM(F57:F58)</f>
        <v>-13331232</v>
      </c>
      <c r="G56" s="55">
        <f t="shared" si="27"/>
        <v>-721713</v>
      </c>
      <c r="I56" s="2"/>
    </row>
    <row r="57" spans="1:9" s="24" customFormat="1" x14ac:dyDescent="0.25">
      <c r="A57" s="57"/>
      <c r="B57" s="57"/>
      <c r="C57" s="57" t="s">
        <v>96</v>
      </c>
      <c r="D57" s="58">
        <v>-7387852</v>
      </c>
      <c r="E57" s="58">
        <f>D57</f>
        <v>-7387852</v>
      </c>
      <c r="F57" s="62">
        <v>-7784803</v>
      </c>
      <c r="G57" s="58">
        <f t="shared" si="27"/>
        <v>-396951</v>
      </c>
      <c r="H57" s="25"/>
      <c r="I57" s="2"/>
    </row>
    <row r="58" spans="1:9" s="24" customFormat="1" x14ac:dyDescent="0.25">
      <c r="A58" s="57"/>
      <c r="B58" s="57"/>
      <c r="C58" s="57" t="s">
        <v>97</v>
      </c>
      <c r="D58" s="58">
        <v>-5221667</v>
      </c>
      <c r="E58" s="58">
        <f>D58</f>
        <v>-5221667</v>
      </c>
      <c r="F58" s="62">
        <v>-5546429</v>
      </c>
      <c r="G58" s="58">
        <f t="shared" si="27"/>
        <v>-324762</v>
      </c>
      <c r="H58" s="25"/>
      <c r="I58" s="2"/>
    </row>
    <row r="59" spans="1:9" s="24" customFormat="1" x14ac:dyDescent="0.25">
      <c r="A59" s="57"/>
      <c r="B59" s="57"/>
      <c r="C59" s="57" t="s">
        <v>95</v>
      </c>
      <c r="D59" s="58">
        <v>0</v>
      </c>
      <c r="E59" s="58">
        <v>0</v>
      </c>
      <c r="F59" s="62">
        <v>-53</v>
      </c>
      <c r="G59" s="58">
        <f t="shared" si="27"/>
        <v>-53</v>
      </c>
      <c r="H59" s="25"/>
      <c r="I59" s="2"/>
    </row>
    <row r="60" spans="1:9" s="14" customFormat="1" x14ac:dyDescent="0.25">
      <c r="A60" s="51"/>
      <c r="B60" s="51"/>
      <c r="C60" s="51" t="s">
        <v>85</v>
      </c>
      <c r="D60" s="55">
        <v>-291</v>
      </c>
      <c r="E60" s="55">
        <f t="shared" ref="E60" si="29">D60</f>
        <v>-291</v>
      </c>
      <c r="F60" s="54">
        <v>-116</v>
      </c>
      <c r="G60" s="55">
        <f t="shared" si="27"/>
        <v>175</v>
      </c>
      <c r="H60" s="9"/>
      <c r="I60" s="2"/>
    </row>
    <row r="61" spans="1:9" x14ac:dyDescent="0.25">
      <c r="A61" s="51"/>
      <c r="B61" s="51" t="s">
        <v>88</v>
      </c>
      <c r="C61" s="51"/>
      <c r="D61" s="55">
        <f>SUM(D62:D64)</f>
        <v>-2019137</v>
      </c>
      <c r="E61" s="55">
        <f>SUM(E62:E64)</f>
        <v>-2424149</v>
      </c>
      <c r="F61" s="54">
        <f>SUM(F62:F64)</f>
        <v>-2305513</v>
      </c>
      <c r="G61" s="55">
        <f>F61-E61</f>
        <v>118636</v>
      </c>
      <c r="I61" s="2"/>
    </row>
    <row r="62" spans="1:9" x14ac:dyDescent="0.25">
      <c r="A62" s="28"/>
      <c r="B62" s="28"/>
      <c r="C62" s="28" t="s">
        <v>89</v>
      </c>
      <c r="D62" s="53">
        <f>D66+D74+D71</f>
        <v>-654785</v>
      </c>
      <c r="E62" s="53">
        <f>E66+E74+E71</f>
        <v>-668368</v>
      </c>
      <c r="F62" s="52">
        <f>F66+F74+F71</f>
        <v>-651295</v>
      </c>
      <c r="G62" s="53">
        <f t="shared" ref="G62:G64" si="30">F62-E62</f>
        <v>17073</v>
      </c>
      <c r="I62" s="2"/>
    </row>
    <row r="63" spans="1:9" x14ac:dyDescent="0.25">
      <c r="A63" s="28"/>
      <c r="B63" s="28"/>
      <c r="C63" s="28" t="s">
        <v>90</v>
      </c>
      <c r="D63" s="53">
        <f>D67+D72</f>
        <v>-560133</v>
      </c>
      <c r="E63" s="53">
        <f>E67+E72</f>
        <v>-951562</v>
      </c>
      <c r="F63" s="52">
        <f>F67+F72</f>
        <v>-852651</v>
      </c>
      <c r="G63" s="53">
        <f t="shared" si="30"/>
        <v>98911</v>
      </c>
      <c r="I63" s="2"/>
    </row>
    <row r="64" spans="1:9" x14ac:dyDescent="0.25">
      <c r="A64" s="28"/>
      <c r="B64" s="28"/>
      <c r="C64" s="28" t="s">
        <v>91</v>
      </c>
      <c r="D64" s="53">
        <f>D75+D69</f>
        <v>-804219</v>
      </c>
      <c r="E64" s="53">
        <f>E75+E69</f>
        <v>-804219</v>
      </c>
      <c r="F64" s="52">
        <f>F75+F69</f>
        <v>-801567</v>
      </c>
      <c r="G64" s="53">
        <f t="shared" si="30"/>
        <v>2652</v>
      </c>
      <c r="I64" s="2"/>
    </row>
    <row r="65" spans="1:9" x14ac:dyDescent="0.25">
      <c r="A65" s="51"/>
      <c r="B65" s="51"/>
      <c r="C65" s="51" t="s">
        <v>79</v>
      </c>
      <c r="D65" s="55">
        <f>SUM(D66:D67)</f>
        <v>-1214356</v>
      </c>
      <c r="E65" s="55">
        <f>SUM(E66:E67)</f>
        <v>-1036059</v>
      </c>
      <c r="F65" s="54">
        <f>SUM(F66:F67)</f>
        <v>-920075</v>
      </c>
      <c r="G65" s="55">
        <f>F65-E65</f>
        <v>115984</v>
      </c>
      <c r="I65" s="2"/>
    </row>
    <row r="66" spans="1:9" x14ac:dyDescent="0.25">
      <c r="A66" s="28"/>
      <c r="B66" s="28"/>
      <c r="C66" s="28" t="s">
        <v>89</v>
      </c>
      <c r="D66" s="53">
        <v>-654223</v>
      </c>
      <c r="E66" s="53">
        <f>D66+209395</f>
        <v>-444828</v>
      </c>
      <c r="F66" s="52">
        <v>-427755</v>
      </c>
      <c r="G66" s="53">
        <f t="shared" ref="G66:G85" si="31">F66-E66</f>
        <v>17073</v>
      </c>
      <c r="I66" s="2"/>
    </row>
    <row r="67" spans="1:9" x14ac:dyDescent="0.25">
      <c r="A67" s="28"/>
      <c r="B67" s="28"/>
      <c r="C67" s="28" t="s">
        <v>90</v>
      </c>
      <c r="D67" s="53">
        <v>-560133</v>
      </c>
      <c r="E67" s="53">
        <f>D67-31098</f>
        <v>-591231</v>
      </c>
      <c r="F67" s="52">
        <v>-492320</v>
      </c>
      <c r="G67" s="53">
        <f t="shared" si="31"/>
        <v>98911</v>
      </c>
      <c r="I67" s="2"/>
    </row>
    <row r="68" spans="1:9" x14ac:dyDescent="0.25">
      <c r="A68" s="28"/>
      <c r="B68" s="28"/>
      <c r="C68" s="59" t="s">
        <v>80</v>
      </c>
      <c r="D68" s="52">
        <f>D69</f>
        <v>0</v>
      </c>
      <c r="E68" s="52">
        <f>E69</f>
        <v>0</v>
      </c>
      <c r="F68" s="52">
        <f>F69</f>
        <v>-22</v>
      </c>
      <c r="G68" s="52">
        <f t="shared" si="31"/>
        <v>-22</v>
      </c>
      <c r="I68" s="2"/>
    </row>
    <row r="69" spans="1:9" x14ac:dyDescent="0.25">
      <c r="A69" s="28"/>
      <c r="B69" s="28"/>
      <c r="C69" s="56" t="s">
        <v>95</v>
      </c>
      <c r="D69" s="52">
        <v>0</v>
      </c>
      <c r="E69" s="52">
        <v>0</v>
      </c>
      <c r="F69" s="52">
        <v>-22</v>
      </c>
      <c r="G69" s="52">
        <f t="shared" si="31"/>
        <v>-22</v>
      </c>
      <c r="I69" s="2"/>
    </row>
    <row r="70" spans="1:9" x14ac:dyDescent="0.25">
      <c r="A70" s="28"/>
      <c r="B70" s="28"/>
      <c r="C70" s="60" t="s">
        <v>81</v>
      </c>
      <c r="D70" s="54">
        <f>SUM(D71+D72)</f>
        <v>0</v>
      </c>
      <c r="E70" s="54">
        <f>SUM(E71:E72)</f>
        <v>-583871</v>
      </c>
      <c r="F70" s="54">
        <f>SUM(F71:F72)</f>
        <v>-583871</v>
      </c>
      <c r="G70" s="54">
        <f t="shared" si="31"/>
        <v>0</v>
      </c>
      <c r="I70" s="2"/>
    </row>
    <row r="71" spans="1:9" x14ac:dyDescent="0.25">
      <c r="A71" s="28"/>
      <c r="B71" s="28"/>
      <c r="C71" s="56" t="s">
        <v>89</v>
      </c>
      <c r="D71" s="52">
        <v>0</v>
      </c>
      <c r="E71" s="52">
        <v>-223540</v>
      </c>
      <c r="F71" s="52">
        <v>-223540</v>
      </c>
      <c r="G71" s="52">
        <f t="shared" si="31"/>
        <v>0</v>
      </c>
      <c r="I71" s="2"/>
    </row>
    <row r="72" spans="1:9" x14ac:dyDescent="0.25">
      <c r="A72" s="28"/>
      <c r="B72" s="28"/>
      <c r="C72" s="56" t="s">
        <v>90</v>
      </c>
      <c r="D72" s="52">
        <v>0</v>
      </c>
      <c r="E72" s="52">
        <v>-360331</v>
      </c>
      <c r="F72" s="52">
        <v>-360331</v>
      </c>
      <c r="G72" s="52">
        <f t="shared" si="31"/>
        <v>0</v>
      </c>
      <c r="I72" s="2"/>
    </row>
    <row r="73" spans="1:9" s="14" customFormat="1" x14ac:dyDescent="0.25">
      <c r="A73" s="51"/>
      <c r="B73" s="51"/>
      <c r="C73" s="51" t="s">
        <v>82</v>
      </c>
      <c r="D73" s="55">
        <f>D74</f>
        <v>-562</v>
      </c>
      <c r="E73" s="55">
        <f t="shared" ref="E73:F73" si="32">E74</f>
        <v>0</v>
      </c>
      <c r="F73" s="54">
        <f t="shared" si="32"/>
        <v>0</v>
      </c>
      <c r="G73" s="55">
        <f>F73-E73</f>
        <v>0</v>
      </c>
      <c r="H73" s="9"/>
      <c r="I73" s="2"/>
    </row>
    <row r="74" spans="1:9" x14ac:dyDescent="0.25">
      <c r="A74" s="28"/>
      <c r="B74" s="28"/>
      <c r="C74" s="28" t="s">
        <v>89</v>
      </c>
      <c r="D74" s="53">
        <v>-562</v>
      </c>
      <c r="E74" s="53">
        <f>D74+562</f>
        <v>0</v>
      </c>
      <c r="F74" s="52">
        <v>0</v>
      </c>
      <c r="G74" s="53">
        <f t="shared" ref="G74" si="33">F74-E74</f>
        <v>0</v>
      </c>
      <c r="I74" s="2"/>
    </row>
    <row r="75" spans="1:9" s="14" customFormat="1" x14ac:dyDescent="0.25">
      <c r="A75" s="51"/>
      <c r="B75" s="51"/>
      <c r="C75" s="51" t="s">
        <v>85</v>
      </c>
      <c r="D75" s="55">
        <v>-804219</v>
      </c>
      <c r="E75" s="55">
        <f t="shared" ref="E75" si="34">D75</f>
        <v>-804219</v>
      </c>
      <c r="F75" s="54">
        <v>-801545</v>
      </c>
      <c r="G75" s="55">
        <f t="shared" si="31"/>
        <v>2674</v>
      </c>
      <c r="H75" s="9"/>
      <c r="I75" s="2"/>
    </row>
    <row r="76" spans="1:9" s="14" customFormat="1" ht="15.75" x14ac:dyDescent="0.25">
      <c r="A76" s="41" t="s">
        <v>22</v>
      </c>
      <c r="B76" s="51"/>
      <c r="C76" s="51"/>
      <c r="D76" s="54">
        <f>SUM(D77:D82)</f>
        <v>-3839394536</v>
      </c>
      <c r="E76" s="54">
        <f>SUM(E77:E82)</f>
        <v>-3860249226.5699997</v>
      </c>
      <c r="F76" s="54">
        <f>SUM(F77:F82)</f>
        <v>-3814398502.480001</v>
      </c>
      <c r="G76" s="54">
        <f t="shared" si="31"/>
        <v>45850724.089998722</v>
      </c>
      <c r="H76" s="9"/>
      <c r="I76" s="2"/>
    </row>
    <row r="77" spans="1:9" ht="15.75" x14ac:dyDescent="0.25">
      <c r="A77" s="34"/>
      <c r="B77" s="28" t="s">
        <v>79</v>
      </c>
      <c r="C77" s="28"/>
      <c r="D77" s="52">
        <f>D84+D97</f>
        <v>-6655635</v>
      </c>
      <c r="E77" s="52">
        <f t="shared" ref="E77:F77" si="35">E84+E97</f>
        <v>-7074389.5399999991</v>
      </c>
      <c r="F77" s="52">
        <f t="shared" si="35"/>
        <v>-6429087.8000000007</v>
      </c>
      <c r="G77" s="52">
        <f t="shared" si="31"/>
        <v>645301.73999999836</v>
      </c>
      <c r="I77" s="2"/>
    </row>
    <row r="78" spans="1:9" ht="15.75" x14ac:dyDescent="0.25">
      <c r="A78" s="34"/>
      <c r="B78" s="28" t="s">
        <v>80</v>
      </c>
      <c r="C78" s="28"/>
      <c r="D78" s="52">
        <f>D98</f>
        <v>-505320661</v>
      </c>
      <c r="E78" s="52">
        <f t="shared" ref="E78:F78" si="36">E98</f>
        <v>-505320660.77000004</v>
      </c>
      <c r="F78" s="52">
        <f t="shared" si="36"/>
        <v>-433450016.36000013</v>
      </c>
      <c r="G78" s="52">
        <f t="shared" si="31"/>
        <v>71870644.409999907</v>
      </c>
      <c r="I78" s="2"/>
    </row>
    <row r="79" spans="1:9" x14ac:dyDescent="0.25">
      <c r="A79" s="28"/>
      <c r="B79" s="28" t="s">
        <v>81</v>
      </c>
      <c r="C79" s="28"/>
      <c r="D79" s="52">
        <f>D85+D99</f>
        <v>-1336890</v>
      </c>
      <c r="E79" s="52">
        <f t="shared" ref="E79:F79" si="37">E85+E99</f>
        <v>-1029622.29</v>
      </c>
      <c r="F79" s="52">
        <f t="shared" si="37"/>
        <v>-586788.69999999995</v>
      </c>
      <c r="G79" s="52">
        <f t="shared" ref="G79" si="38">F79-E79</f>
        <v>442833.59000000008</v>
      </c>
      <c r="I79" s="2"/>
    </row>
    <row r="80" spans="1:9" x14ac:dyDescent="0.25">
      <c r="A80" s="28"/>
      <c r="B80" s="28" t="s">
        <v>82</v>
      </c>
      <c r="C80" s="28"/>
      <c r="D80" s="52">
        <f>D100</f>
        <v>-41383</v>
      </c>
      <c r="E80" s="52">
        <f t="shared" ref="E80:F80" si="39">E100</f>
        <v>-34587.31</v>
      </c>
      <c r="F80" s="52">
        <f t="shared" si="39"/>
        <v>-31071.799999999996</v>
      </c>
      <c r="G80" s="52">
        <f t="shared" si="31"/>
        <v>3515.510000000002</v>
      </c>
      <c r="I80" s="2"/>
    </row>
    <row r="81" spans="1:9" x14ac:dyDescent="0.25">
      <c r="A81" s="28"/>
      <c r="B81" s="28" t="s">
        <v>83</v>
      </c>
      <c r="C81" s="28"/>
      <c r="D81" s="52">
        <f>D101</f>
        <v>-3325392304</v>
      </c>
      <c r="E81" s="52">
        <f t="shared" ref="E81:F81" si="40">E101</f>
        <v>-3346142303.9899998</v>
      </c>
      <c r="F81" s="52">
        <f t="shared" si="40"/>
        <v>-3373147397.7700005</v>
      </c>
      <c r="G81" s="52">
        <f t="shared" si="31"/>
        <v>-27005093.780000687</v>
      </c>
      <c r="I81" s="2"/>
    </row>
    <row r="82" spans="1:9" x14ac:dyDescent="0.25">
      <c r="A82" s="28"/>
      <c r="B82" s="28" t="s">
        <v>85</v>
      </c>
      <c r="C82" s="28"/>
      <c r="D82" s="52">
        <f>D102</f>
        <v>-647663</v>
      </c>
      <c r="E82" s="52">
        <f t="shared" ref="E82:F82" si="41">E102</f>
        <v>-647662.66999999993</v>
      </c>
      <c r="F82" s="52">
        <f t="shared" si="41"/>
        <v>-754140.05</v>
      </c>
      <c r="G82" s="52">
        <f t="shared" si="31"/>
        <v>-106477.38000000012</v>
      </c>
      <c r="I82" s="2"/>
    </row>
    <row r="83" spans="1:9" s="14" customFormat="1" ht="15.75" x14ac:dyDescent="0.25">
      <c r="A83" s="39" t="s">
        <v>98</v>
      </c>
      <c r="B83" s="51"/>
      <c r="C83" s="51"/>
      <c r="D83" s="55">
        <f>SUM(D84:D85)</f>
        <v>-1167138</v>
      </c>
      <c r="E83" s="55">
        <f>SUM(E84:E85)</f>
        <v>-703108</v>
      </c>
      <c r="F83" s="54">
        <f>SUM(F84:F85)</f>
        <v>-286318</v>
      </c>
      <c r="G83" s="55">
        <f t="shared" si="31"/>
        <v>416790</v>
      </c>
      <c r="H83" s="9"/>
      <c r="I83" s="2"/>
    </row>
    <row r="84" spans="1:9" x14ac:dyDescent="0.25">
      <c r="A84" s="28"/>
      <c r="B84" s="28" t="s">
        <v>79</v>
      </c>
      <c r="C84" s="28"/>
      <c r="D84" s="53">
        <f>D90</f>
        <v>-198000</v>
      </c>
      <c r="E84" s="53">
        <f t="shared" ref="E84:F84" si="42">E90</f>
        <v>-199088</v>
      </c>
      <c r="F84" s="52">
        <f t="shared" si="42"/>
        <v>-199088</v>
      </c>
      <c r="G84" s="53">
        <f t="shared" si="31"/>
        <v>0</v>
      </c>
      <c r="I84" s="2"/>
    </row>
    <row r="85" spans="1:9" x14ac:dyDescent="0.25">
      <c r="A85" s="28"/>
      <c r="B85" s="28" t="s">
        <v>81</v>
      </c>
      <c r="C85" s="28"/>
      <c r="D85" s="53">
        <f>D92</f>
        <v>-969138</v>
      </c>
      <c r="E85" s="53">
        <f t="shared" ref="E85:F85" si="43">E92</f>
        <v>-504020</v>
      </c>
      <c r="F85" s="52">
        <f t="shared" si="43"/>
        <v>-87230</v>
      </c>
      <c r="G85" s="53">
        <f t="shared" si="31"/>
        <v>416790</v>
      </c>
      <c r="I85" s="2"/>
    </row>
    <row r="86" spans="1:9" x14ac:dyDescent="0.25">
      <c r="A86" s="51"/>
      <c r="B86" s="51" t="s">
        <v>99</v>
      </c>
      <c r="C86" s="51"/>
      <c r="D86" s="55">
        <f>SUM(D87:D89)</f>
        <v>-1167138</v>
      </c>
      <c r="E86" s="55">
        <f>SUM(E87:E89)</f>
        <v>-703108</v>
      </c>
      <c r="F86" s="54">
        <f>SUM(F87:F89)</f>
        <v>-286318</v>
      </c>
      <c r="G86" s="55">
        <f>F86-E86</f>
        <v>416790</v>
      </c>
      <c r="I86" s="2"/>
    </row>
    <row r="87" spans="1:9" x14ac:dyDescent="0.25">
      <c r="A87" s="28"/>
      <c r="B87" s="28"/>
      <c r="C87" s="56" t="s">
        <v>89</v>
      </c>
      <c r="D87" s="52">
        <f>D93</f>
        <v>-43350</v>
      </c>
      <c r="E87" s="52">
        <f t="shared" ref="E87:F87" si="44">E93</f>
        <v>-499597</v>
      </c>
      <c r="F87" s="52">
        <f t="shared" si="44"/>
        <v>-87230</v>
      </c>
      <c r="G87" s="52">
        <f t="shared" ref="G87:G89" si="45">F87-E87</f>
        <v>412367</v>
      </c>
      <c r="I87" s="2"/>
    </row>
    <row r="88" spans="1:9" x14ac:dyDescent="0.25">
      <c r="A88" s="28"/>
      <c r="B88" s="28"/>
      <c r="C88" s="56" t="s">
        <v>90</v>
      </c>
      <c r="D88" s="52">
        <f>D94</f>
        <v>-15561</v>
      </c>
      <c r="E88" s="52">
        <f t="shared" ref="E88:F88" si="46">E94</f>
        <v>-4423</v>
      </c>
      <c r="F88" s="52">
        <f t="shared" si="46"/>
        <v>0</v>
      </c>
      <c r="G88" s="52">
        <f t="shared" si="45"/>
        <v>4423</v>
      </c>
      <c r="I88" s="2"/>
    </row>
    <row r="89" spans="1:9" x14ac:dyDescent="0.25">
      <c r="A89" s="28"/>
      <c r="B89" s="28"/>
      <c r="C89" s="56" t="s">
        <v>100</v>
      </c>
      <c r="D89" s="52">
        <f>D91+D95</f>
        <v>-1108227</v>
      </c>
      <c r="E89" s="52">
        <f t="shared" ref="E89:F89" si="47">E91+E95</f>
        <v>-199088</v>
      </c>
      <c r="F89" s="52">
        <f t="shared" si="47"/>
        <v>-199088</v>
      </c>
      <c r="G89" s="52">
        <f t="shared" si="45"/>
        <v>0</v>
      </c>
      <c r="I89" s="2"/>
    </row>
    <row r="90" spans="1:9" x14ac:dyDescent="0.25">
      <c r="A90" s="51"/>
      <c r="B90" s="51"/>
      <c r="C90" s="59" t="s">
        <v>79</v>
      </c>
      <c r="D90" s="54">
        <f>SUM(D91:D91)</f>
        <v>-198000</v>
      </c>
      <c r="E90" s="54">
        <f>SUM(E91:E91)</f>
        <v>-199088</v>
      </c>
      <c r="F90" s="54">
        <f>SUM(F91:F91)</f>
        <v>-199088</v>
      </c>
      <c r="G90" s="54">
        <f>F90-E90</f>
        <v>0</v>
      </c>
      <c r="I90" s="2"/>
    </row>
    <row r="91" spans="1:9" x14ac:dyDescent="0.25">
      <c r="A91" s="28"/>
      <c r="B91" s="28"/>
      <c r="C91" s="56" t="s">
        <v>100</v>
      </c>
      <c r="D91" s="52">
        <v>-198000</v>
      </c>
      <c r="E91" s="52">
        <f>D91-1088</f>
        <v>-199088</v>
      </c>
      <c r="F91" s="52">
        <v>-199088</v>
      </c>
      <c r="G91" s="52">
        <f t="shared" ref="G91" si="48">F91-E91</f>
        <v>0</v>
      </c>
      <c r="I91" s="2"/>
    </row>
    <row r="92" spans="1:9" s="14" customFormat="1" x14ac:dyDescent="0.25">
      <c r="A92" s="51"/>
      <c r="B92" s="51"/>
      <c r="C92" s="59" t="s">
        <v>81</v>
      </c>
      <c r="D92" s="54">
        <f>SUM(D93:D95)</f>
        <v>-969138</v>
      </c>
      <c r="E92" s="54">
        <f t="shared" ref="E92:F92" si="49">SUM(E93:E95)</f>
        <v>-504020</v>
      </c>
      <c r="F92" s="54">
        <f t="shared" si="49"/>
        <v>-87230</v>
      </c>
      <c r="G92" s="54">
        <f>F92-E92</f>
        <v>416790</v>
      </c>
      <c r="H92" s="9"/>
      <c r="I92" s="2"/>
    </row>
    <row r="93" spans="1:9" x14ac:dyDescent="0.25">
      <c r="A93" s="28"/>
      <c r="B93" s="28"/>
      <c r="C93" s="56" t="s">
        <v>89</v>
      </c>
      <c r="D93" s="52">
        <v>-43350</v>
      </c>
      <c r="E93" s="52">
        <f>D93-456247</f>
        <v>-499597</v>
      </c>
      <c r="F93" s="52">
        <v>-87230</v>
      </c>
      <c r="G93" s="52">
        <f t="shared" ref="G93:G102" si="50">F93-E93</f>
        <v>412367</v>
      </c>
      <c r="I93" s="2"/>
    </row>
    <row r="94" spans="1:9" x14ac:dyDescent="0.25">
      <c r="A94" s="28"/>
      <c r="B94" s="28"/>
      <c r="C94" s="56" t="s">
        <v>90</v>
      </c>
      <c r="D94" s="52">
        <v>-15561</v>
      </c>
      <c r="E94" s="52">
        <f>D94+11138</f>
        <v>-4423</v>
      </c>
      <c r="F94" s="52">
        <v>0</v>
      </c>
      <c r="G94" s="52">
        <f t="shared" si="50"/>
        <v>4423</v>
      </c>
      <c r="I94" s="2"/>
    </row>
    <row r="95" spans="1:9" x14ac:dyDescent="0.25">
      <c r="A95" s="28"/>
      <c r="B95" s="28"/>
      <c r="C95" s="28" t="s">
        <v>100</v>
      </c>
      <c r="D95" s="53">
        <v>-910227</v>
      </c>
      <c r="E95" s="53">
        <f>D95+910227</f>
        <v>0</v>
      </c>
      <c r="F95" s="52">
        <v>0</v>
      </c>
      <c r="G95" s="53">
        <f t="shared" si="50"/>
        <v>0</v>
      </c>
      <c r="I95" s="2"/>
    </row>
    <row r="96" spans="1:9" s="14" customFormat="1" ht="15.75" x14ac:dyDescent="0.25">
      <c r="A96" s="39" t="s">
        <v>101</v>
      </c>
      <c r="B96" s="51"/>
      <c r="C96" s="51"/>
      <c r="D96" s="55">
        <f>SUM(D97:D102)</f>
        <v>-3838227398</v>
      </c>
      <c r="E96" s="55">
        <f t="shared" ref="E96:F96" si="51">SUM(E97:E102)</f>
        <v>-3859546118.5699997</v>
      </c>
      <c r="F96" s="54">
        <f t="shared" si="51"/>
        <v>-3814112184.480001</v>
      </c>
      <c r="G96" s="55">
        <f t="shared" si="50"/>
        <v>45433934.089998722</v>
      </c>
      <c r="H96" s="9"/>
      <c r="I96" s="2"/>
    </row>
    <row r="97" spans="1:9" x14ac:dyDescent="0.25">
      <c r="A97" s="28"/>
      <c r="B97" s="28" t="s">
        <v>79</v>
      </c>
      <c r="C97" s="28"/>
      <c r="D97" s="52">
        <f>D108+D128+D154</f>
        <v>-6457635</v>
      </c>
      <c r="E97" s="52">
        <f t="shared" ref="E97:F97" si="52">E108+E128+E154</f>
        <v>-6875301.5399999991</v>
      </c>
      <c r="F97" s="52">
        <f t="shared" si="52"/>
        <v>-6229999.8000000007</v>
      </c>
      <c r="G97" s="53">
        <f t="shared" si="50"/>
        <v>645301.73999999836</v>
      </c>
      <c r="I97" s="2"/>
    </row>
    <row r="98" spans="1:9" x14ac:dyDescent="0.25">
      <c r="A98" s="28"/>
      <c r="B98" s="28" t="s">
        <v>80</v>
      </c>
      <c r="C98" s="28"/>
      <c r="D98" s="52">
        <f>D133+D112+D157</f>
        <v>-505320661</v>
      </c>
      <c r="E98" s="52">
        <f t="shared" ref="E98:F98" si="53">E133+E112+E157</f>
        <v>-505320660.77000004</v>
      </c>
      <c r="F98" s="52">
        <f t="shared" si="53"/>
        <v>-433450016.36000013</v>
      </c>
      <c r="G98" s="53">
        <f t="shared" si="50"/>
        <v>71870644.409999907</v>
      </c>
      <c r="I98" s="2"/>
    </row>
    <row r="99" spans="1:9" x14ac:dyDescent="0.25">
      <c r="A99" s="28"/>
      <c r="B99" s="28" t="s">
        <v>81</v>
      </c>
      <c r="C99" s="28"/>
      <c r="D99" s="52">
        <f>D114+D159</f>
        <v>-367752</v>
      </c>
      <c r="E99" s="52">
        <f t="shared" ref="E99:F99" si="54">E114+E159</f>
        <v>-525602.29</v>
      </c>
      <c r="F99" s="52">
        <f t="shared" si="54"/>
        <v>-499558.7</v>
      </c>
      <c r="G99" s="53">
        <f t="shared" si="50"/>
        <v>26043.590000000026</v>
      </c>
      <c r="I99" s="2"/>
    </row>
    <row r="100" spans="1:9" x14ac:dyDescent="0.25">
      <c r="A100" s="28"/>
      <c r="B100" s="28" t="s">
        <v>82</v>
      </c>
      <c r="C100" s="28"/>
      <c r="D100" s="52">
        <f>D162+D118</f>
        <v>-41383</v>
      </c>
      <c r="E100" s="52">
        <f t="shared" ref="E100:F100" si="55">E162+E118</f>
        <v>-34587.31</v>
      </c>
      <c r="F100" s="52">
        <f t="shared" si="55"/>
        <v>-31071.799999999996</v>
      </c>
      <c r="G100" s="53">
        <f t="shared" si="50"/>
        <v>3515.510000000002</v>
      </c>
      <c r="I100" s="2"/>
    </row>
    <row r="101" spans="1:9" x14ac:dyDescent="0.25">
      <c r="A101" s="28"/>
      <c r="B101" s="28" t="s">
        <v>83</v>
      </c>
      <c r="C101" s="28"/>
      <c r="D101" s="52">
        <f>D120+D146</f>
        <v>-3325392304</v>
      </c>
      <c r="E101" s="52">
        <f t="shared" ref="E101:F101" si="56">E120+E146</f>
        <v>-3346142303.9899998</v>
      </c>
      <c r="F101" s="52">
        <f t="shared" si="56"/>
        <v>-3373147397.7700005</v>
      </c>
      <c r="G101" s="53">
        <f t="shared" si="50"/>
        <v>-27005093.780000687</v>
      </c>
      <c r="I101" s="2"/>
    </row>
    <row r="102" spans="1:9" x14ac:dyDescent="0.25">
      <c r="A102" s="28"/>
      <c r="B102" s="28" t="s">
        <v>85</v>
      </c>
      <c r="C102" s="28"/>
      <c r="D102" s="52">
        <f>D149+D165</f>
        <v>-647663</v>
      </c>
      <c r="E102" s="52">
        <f t="shared" ref="E102:F102" si="57">E149+E165</f>
        <v>-647662.66999999993</v>
      </c>
      <c r="F102" s="52">
        <f t="shared" si="57"/>
        <v>-754140.05</v>
      </c>
      <c r="G102" s="53">
        <f t="shared" si="50"/>
        <v>-106477.38000000012</v>
      </c>
      <c r="I102" s="2"/>
    </row>
    <row r="103" spans="1:9" x14ac:dyDescent="0.25">
      <c r="A103" s="51"/>
      <c r="B103" s="51" t="s">
        <v>99</v>
      </c>
      <c r="C103" s="51"/>
      <c r="D103" s="55">
        <f>SUM(D104:D107)</f>
        <v>-570423530</v>
      </c>
      <c r="E103" s="55">
        <f t="shared" ref="E103:F103" si="58">SUM(E104:E107)</f>
        <v>-591526310.70000005</v>
      </c>
      <c r="F103" s="54">
        <f t="shared" si="58"/>
        <v>-587452183.19000006</v>
      </c>
      <c r="G103" s="55">
        <f>F103-E103</f>
        <v>4074127.5099999905</v>
      </c>
      <c r="I103" s="2"/>
    </row>
    <row r="104" spans="1:9" x14ac:dyDescent="0.25">
      <c r="A104" s="28"/>
      <c r="B104" s="28"/>
      <c r="C104" s="28" t="s">
        <v>89</v>
      </c>
      <c r="D104" s="53">
        <f>D109+D115+D119</f>
        <v>-1037131</v>
      </c>
      <c r="E104" s="53">
        <f t="shared" ref="E104:F104" si="59">E109+E115+E119</f>
        <v>-1493415.2399999998</v>
      </c>
      <c r="F104" s="52">
        <f t="shared" si="59"/>
        <v>-1224235.3</v>
      </c>
      <c r="G104" s="53">
        <f t="shared" ref="G104:G107" si="60">F104-E104</f>
        <v>269179.93999999971</v>
      </c>
      <c r="I104" s="2"/>
    </row>
    <row r="105" spans="1:9" x14ac:dyDescent="0.25">
      <c r="A105" s="28"/>
      <c r="B105" s="28"/>
      <c r="C105" s="28" t="s">
        <v>90</v>
      </c>
      <c r="D105" s="53">
        <f>D110+D116</f>
        <v>-352900</v>
      </c>
      <c r="E105" s="53">
        <f t="shared" ref="E105:F105" si="61">E110+E116</f>
        <v>-308891.55</v>
      </c>
      <c r="F105" s="52">
        <f t="shared" si="61"/>
        <v>-248613.77</v>
      </c>
      <c r="G105" s="53">
        <f t="shared" si="60"/>
        <v>60277.78</v>
      </c>
      <c r="I105" s="2"/>
    </row>
    <row r="106" spans="1:9" x14ac:dyDescent="0.25">
      <c r="A106" s="28"/>
      <c r="B106" s="28"/>
      <c r="C106" s="28" t="s">
        <v>100</v>
      </c>
      <c r="D106" s="53">
        <f>D111+D117</f>
        <v>-283499</v>
      </c>
      <c r="E106" s="53">
        <f t="shared" ref="E106:F106" si="62">E111+E117</f>
        <v>-224003.91</v>
      </c>
      <c r="F106" s="52">
        <f t="shared" si="62"/>
        <v>-215885.13</v>
      </c>
      <c r="G106" s="53">
        <f t="shared" si="60"/>
        <v>8118.7799999999988</v>
      </c>
      <c r="I106" s="2"/>
    </row>
    <row r="107" spans="1:9" x14ac:dyDescent="0.25">
      <c r="A107" s="28"/>
      <c r="B107" s="28"/>
      <c r="C107" s="28" t="s">
        <v>91</v>
      </c>
      <c r="D107" s="53">
        <f>D121+D113</f>
        <v>-568750000</v>
      </c>
      <c r="E107" s="53">
        <f t="shared" ref="E107:F107" si="63">E121+E113</f>
        <v>-589500000</v>
      </c>
      <c r="F107" s="52">
        <f t="shared" si="63"/>
        <v>-585763448.99000001</v>
      </c>
      <c r="G107" s="53">
        <f t="shared" si="60"/>
        <v>3736551.0099999905</v>
      </c>
      <c r="I107" s="2"/>
    </row>
    <row r="108" spans="1:9" x14ac:dyDescent="0.25">
      <c r="A108" s="51"/>
      <c r="B108" s="51"/>
      <c r="C108" s="51" t="s">
        <v>79</v>
      </c>
      <c r="D108" s="55">
        <f>SUM(D109:D111)</f>
        <v>-1344631</v>
      </c>
      <c r="E108" s="55">
        <f t="shared" ref="E108:F108" si="64">SUM(E109:E111)</f>
        <v>-1584191.64</v>
      </c>
      <c r="F108" s="54">
        <f t="shared" si="64"/>
        <v>-1267052.58</v>
      </c>
      <c r="G108" s="55">
        <f>F108-E108</f>
        <v>317139.05999999982</v>
      </c>
      <c r="I108" s="2"/>
    </row>
    <row r="109" spans="1:9" x14ac:dyDescent="0.25">
      <c r="A109" s="28"/>
      <c r="B109" s="28"/>
      <c r="C109" s="28" t="s">
        <v>89</v>
      </c>
      <c r="D109" s="53">
        <v>-1015022</v>
      </c>
      <c r="E109" s="53">
        <v>-1247309.68</v>
      </c>
      <c r="F109" s="52">
        <v>-985901.81</v>
      </c>
      <c r="G109" s="53">
        <f t="shared" ref="G109:G110" si="65">F109-E109</f>
        <v>261407.86999999988</v>
      </c>
      <c r="I109" s="2"/>
    </row>
    <row r="110" spans="1:9" x14ac:dyDescent="0.25">
      <c r="A110" s="28"/>
      <c r="B110" s="28"/>
      <c r="C110" s="28" t="s">
        <v>90</v>
      </c>
      <c r="D110" s="53">
        <v>-323610</v>
      </c>
      <c r="E110" s="53">
        <f>D110+123581.85</f>
        <v>-200028.15</v>
      </c>
      <c r="F110" s="52">
        <v>-148677.84</v>
      </c>
      <c r="G110" s="53">
        <f t="shared" si="65"/>
        <v>51350.31</v>
      </c>
      <c r="I110" s="2"/>
    </row>
    <row r="111" spans="1:9" x14ac:dyDescent="0.25">
      <c r="A111" s="28"/>
      <c r="B111" s="28"/>
      <c r="C111" s="28" t="s">
        <v>100</v>
      </c>
      <c r="D111" s="53">
        <v>-5999</v>
      </c>
      <c r="E111" s="53">
        <f>D111-130854.81</f>
        <v>-136853.81</v>
      </c>
      <c r="F111" s="52">
        <v>-132472.93</v>
      </c>
      <c r="G111" s="53">
        <f t="shared" ref="G111:G113" si="66">F111-E111</f>
        <v>4380.8800000000047</v>
      </c>
      <c r="I111" s="2"/>
    </row>
    <row r="112" spans="1:9" x14ac:dyDescent="0.25">
      <c r="A112" s="28"/>
      <c r="B112" s="28"/>
      <c r="C112" s="51" t="s">
        <v>80</v>
      </c>
      <c r="D112" s="55">
        <f>D113</f>
        <v>0</v>
      </c>
      <c r="E112" s="55">
        <f t="shared" ref="E112:F112" si="67">E113</f>
        <v>0</v>
      </c>
      <c r="F112" s="54">
        <f t="shared" si="67"/>
        <v>-2.48</v>
      </c>
      <c r="G112" s="55">
        <f>F112-E112</f>
        <v>-2.48</v>
      </c>
      <c r="I112" s="2"/>
    </row>
    <row r="113" spans="1:9" x14ac:dyDescent="0.25">
      <c r="A113" s="28"/>
      <c r="B113" s="28"/>
      <c r="C113" s="28" t="s">
        <v>95</v>
      </c>
      <c r="D113" s="53">
        <v>0</v>
      </c>
      <c r="E113" s="53">
        <v>0</v>
      </c>
      <c r="F113" s="52">
        <v>-2.48</v>
      </c>
      <c r="G113" s="53">
        <f t="shared" si="66"/>
        <v>-2.48</v>
      </c>
      <c r="I113" s="2"/>
    </row>
    <row r="114" spans="1:9" s="14" customFormat="1" x14ac:dyDescent="0.25">
      <c r="A114" s="51"/>
      <c r="B114" s="51"/>
      <c r="C114" s="51" t="s">
        <v>81</v>
      </c>
      <c r="D114" s="55">
        <f>SUM(D115:D117)</f>
        <v>-328899</v>
      </c>
      <c r="E114" s="55">
        <f t="shared" ref="E114" si="68">SUM(E115:E117)</f>
        <v>-441804.89</v>
      </c>
      <c r="F114" s="54">
        <f t="shared" ref="F114" si="69">SUM(F115:F117)</f>
        <v>-421367.45</v>
      </c>
      <c r="G114" s="55">
        <f>F114-E114</f>
        <v>20437.440000000002</v>
      </c>
      <c r="H114" s="9"/>
      <c r="I114" s="2"/>
    </row>
    <row r="115" spans="1:9" x14ac:dyDescent="0.25">
      <c r="A115" s="28"/>
      <c r="B115" s="28"/>
      <c r="C115" s="28" t="s">
        <v>89</v>
      </c>
      <c r="D115" s="53">
        <v>-22109</v>
      </c>
      <c r="E115" s="53">
        <v>-245791.39</v>
      </c>
      <c r="F115" s="52">
        <v>-238019.32</v>
      </c>
      <c r="G115" s="53">
        <f t="shared" ref="G115:G119" si="70">F115-E115</f>
        <v>7772.070000000007</v>
      </c>
      <c r="I115" s="2"/>
    </row>
    <row r="116" spans="1:9" x14ac:dyDescent="0.25">
      <c r="A116" s="28"/>
      <c r="B116" s="28"/>
      <c r="C116" s="28" t="s">
        <v>90</v>
      </c>
      <c r="D116" s="53">
        <v>-29290</v>
      </c>
      <c r="E116" s="53">
        <v>-108863.4</v>
      </c>
      <c r="F116" s="52">
        <v>-99935.93</v>
      </c>
      <c r="G116" s="53">
        <f t="shared" si="70"/>
        <v>8927.4700000000012</v>
      </c>
      <c r="I116" s="2"/>
    </row>
    <row r="117" spans="1:9" x14ac:dyDescent="0.25">
      <c r="A117" s="28"/>
      <c r="B117" s="28"/>
      <c r="C117" s="28" t="s">
        <v>100</v>
      </c>
      <c r="D117" s="53">
        <v>-277500</v>
      </c>
      <c r="E117" s="53">
        <v>-87150.1</v>
      </c>
      <c r="F117" s="52">
        <v>-83412.2</v>
      </c>
      <c r="G117" s="53">
        <f t="shared" si="70"/>
        <v>3737.9000000000087</v>
      </c>
      <c r="I117" s="2"/>
    </row>
    <row r="118" spans="1:9" x14ac:dyDescent="0.25">
      <c r="A118" s="28"/>
      <c r="B118" s="28"/>
      <c r="C118" s="51" t="s">
        <v>82</v>
      </c>
      <c r="D118" s="55">
        <f>D119</f>
        <v>0</v>
      </c>
      <c r="E118" s="55">
        <f t="shared" ref="E118:F118" si="71">E119</f>
        <v>-314.17</v>
      </c>
      <c r="F118" s="54">
        <f t="shared" si="71"/>
        <v>-314.17</v>
      </c>
      <c r="G118" s="55">
        <f>F118-E118</f>
        <v>0</v>
      </c>
      <c r="I118" s="2"/>
    </row>
    <row r="119" spans="1:9" x14ac:dyDescent="0.25">
      <c r="A119" s="28"/>
      <c r="B119" s="28"/>
      <c r="C119" s="28" t="s">
        <v>89</v>
      </c>
      <c r="D119" s="53">
        <v>0</v>
      </c>
      <c r="E119" s="53">
        <v>-314.17</v>
      </c>
      <c r="F119" s="52">
        <v>-314.17</v>
      </c>
      <c r="G119" s="53">
        <f t="shared" si="70"/>
        <v>0</v>
      </c>
      <c r="I119" s="2"/>
    </row>
    <row r="120" spans="1:9" s="14" customFormat="1" x14ac:dyDescent="0.25">
      <c r="A120" s="51"/>
      <c r="B120" s="51"/>
      <c r="C120" s="51" t="s">
        <v>83</v>
      </c>
      <c r="D120" s="55">
        <f>SUM(D121:D121)</f>
        <v>-568750000</v>
      </c>
      <c r="E120" s="55">
        <f t="shared" ref="E120:F120" si="72">SUM(E121:E121)</f>
        <v>-589500000</v>
      </c>
      <c r="F120" s="54">
        <f t="shared" si="72"/>
        <v>-585763446.50999999</v>
      </c>
      <c r="G120" s="55">
        <f>F120-E120</f>
        <v>3736553.4900000095</v>
      </c>
      <c r="H120" s="9"/>
      <c r="I120" s="2"/>
    </row>
    <row r="121" spans="1:9" x14ac:dyDescent="0.25">
      <c r="A121" s="28"/>
      <c r="B121" s="28"/>
      <c r="C121" s="28" t="s">
        <v>95</v>
      </c>
      <c r="D121" s="53">
        <f>-342500000-226250000</f>
        <v>-568750000</v>
      </c>
      <c r="E121" s="53">
        <v>-589500000</v>
      </c>
      <c r="F121" s="52">
        <v>-585763446.50999999</v>
      </c>
      <c r="G121" s="53">
        <f t="shared" ref="G121" si="73">F121-E121</f>
        <v>3736553.4900000095</v>
      </c>
      <c r="I121" s="2"/>
    </row>
    <row r="122" spans="1:9" x14ac:dyDescent="0.25">
      <c r="A122" s="51"/>
      <c r="B122" s="51" t="s">
        <v>93</v>
      </c>
      <c r="C122" s="51"/>
      <c r="D122" s="55">
        <f>SUM(D123:D127)</f>
        <v>-3265846612</v>
      </c>
      <c r="E122" s="55">
        <f>SUM(E123:E127)</f>
        <v>-3265667659.3099995</v>
      </c>
      <c r="F122" s="54">
        <f>SUM(F123:F127)</f>
        <v>-3224306957.4100003</v>
      </c>
      <c r="G122" s="55">
        <f>F122-E122</f>
        <v>41360701.899999142</v>
      </c>
      <c r="I122" s="2"/>
    </row>
    <row r="123" spans="1:9" x14ac:dyDescent="0.25">
      <c r="A123" s="28"/>
      <c r="B123" s="28"/>
      <c r="C123" s="28" t="s">
        <v>89</v>
      </c>
      <c r="D123" s="53">
        <f>D129+D134</f>
        <v>-116453182</v>
      </c>
      <c r="E123" s="53">
        <f t="shared" ref="E123:F123" si="74">E129+E134</f>
        <v>-146130570.13000003</v>
      </c>
      <c r="F123" s="52">
        <f t="shared" si="74"/>
        <v>-143239289.55000001</v>
      </c>
      <c r="G123" s="53">
        <f t="shared" ref="G123:G127" si="75">F123-E123</f>
        <v>2891280.5800000131</v>
      </c>
      <c r="I123" s="2"/>
    </row>
    <row r="124" spans="1:9" x14ac:dyDescent="0.25">
      <c r="A124" s="28"/>
      <c r="B124" s="28"/>
      <c r="C124" s="28" t="s">
        <v>90</v>
      </c>
      <c r="D124" s="53">
        <f>D130+D135</f>
        <v>-434919</v>
      </c>
      <c r="E124" s="53">
        <f t="shared" ref="E124:F124" si="76">E130+E135</f>
        <v>-547860.56999999995</v>
      </c>
      <c r="F124" s="52">
        <f t="shared" si="76"/>
        <v>-369943.33999999997</v>
      </c>
      <c r="G124" s="53">
        <f t="shared" si="75"/>
        <v>177917.22999999998</v>
      </c>
      <c r="I124" s="2"/>
    </row>
    <row r="125" spans="1:9" x14ac:dyDescent="0.25">
      <c r="A125" s="28"/>
      <c r="B125" s="28"/>
      <c r="C125" s="28" t="s">
        <v>94</v>
      </c>
      <c r="D125" s="53">
        <f>D136+D147</f>
        <v>-3148932497</v>
      </c>
      <c r="E125" s="53">
        <f t="shared" ref="E125:F125" si="77">E136+E147</f>
        <v>-3118950496.8999996</v>
      </c>
      <c r="F125" s="52">
        <f t="shared" si="77"/>
        <v>-3080169720.2200003</v>
      </c>
      <c r="G125" s="53">
        <f t="shared" si="75"/>
        <v>38780776.679999352</v>
      </c>
      <c r="I125" s="2"/>
    </row>
    <row r="126" spans="1:9" x14ac:dyDescent="0.25">
      <c r="A126" s="28"/>
      <c r="B126" s="28"/>
      <c r="C126" s="28" t="s">
        <v>100</v>
      </c>
      <c r="D126" s="53">
        <f>D131</f>
        <v>-16000</v>
      </c>
      <c r="E126" s="53">
        <f t="shared" ref="E126:F126" si="78">E131</f>
        <v>-16248</v>
      </c>
      <c r="F126" s="52">
        <f t="shared" si="78"/>
        <v>-16248.26</v>
      </c>
      <c r="G126" s="53">
        <f t="shared" si="75"/>
        <v>-0.26000000000021828</v>
      </c>
      <c r="I126" s="2"/>
    </row>
    <row r="127" spans="1:9" x14ac:dyDescent="0.25">
      <c r="A127" s="28"/>
      <c r="B127" s="28"/>
      <c r="C127" s="28" t="s">
        <v>91</v>
      </c>
      <c r="D127" s="53">
        <f>D149+D145+D132</f>
        <v>-10014</v>
      </c>
      <c r="E127" s="53">
        <f t="shared" ref="E127:F127" si="79">E149+E145+E132</f>
        <v>-22483.71</v>
      </c>
      <c r="F127" s="52">
        <f t="shared" si="79"/>
        <v>-511756.04</v>
      </c>
      <c r="G127" s="53">
        <f t="shared" si="75"/>
        <v>-489272.32999999996</v>
      </c>
      <c r="I127" s="2"/>
    </row>
    <row r="128" spans="1:9" x14ac:dyDescent="0.25">
      <c r="A128" s="51"/>
      <c r="B128" s="51"/>
      <c r="C128" s="51" t="s">
        <v>79</v>
      </c>
      <c r="D128" s="55">
        <f>SUM(D129:D132)</f>
        <v>-3873633</v>
      </c>
      <c r="E128" s="55">
        <f t="shared" ref="E128:F128" si="80">SUM(E129:E132)</f>
        <v>-3694680.84</v>
      </c>
      <c r="F128" s="54">
        <f t="shared" si="80"/>
        <v>-3469596.4899999998</v>
      </c>
      <c r="G128" s="55">
        <f>F128-E128</f>
        <v>225084.35000000009</v>
      </c>
      <c r="I128" s="2"/>
    </row>
    <row r="129" spans="1:9" x14ac:dyDescent="0.25">
      <c r="A129" s="28"/>
      <c r="B129" s="28"/>
      <c r="C129" s="28" t="s">
        <v>89</v>
      </c>
      <c r="D129" s="53">
        <v>-3422714</v>
      </c>
      <c r="E129" s="53">
        <v>-3118102.27</v>
      </c>
      <c r="F129" s="52">
        <v>-3073538.96</v>
      </c>
      <c r="G129" s="53">
        <f t="shared" ref="G129:G149" si="81">F129-E129</f>
        <v>44563.310000000056</v>
      </c>
      <c r="I129" s="2"/>
    </row>
    <row r="130" spans="1:9" x14ac:dyDescent="0.25">
      <c r="A130" s="28"/>
      <c r="B130" s="28"/>
      <c r="C130" s="28" t="s">
        <v>90</v>
      </c>
      <c r="D130" s="53">
        <v>-434919</v>
      </c>
      <c r="E130" s="53">
        <v>-547860.56999999995</v>
      </c>
      <c r="F130" s="52">
        <v>-367339.1</v>
      </c>
      <c r="G130" s="53">
        <f t="shared" si="81"/>
        <v>180521.46999999997</v>
      </c>
      <c r="I130" s="2"/>
    </row>
    <row r="131" spans="1:9" x14ac:dyDescent="0.25">
      <c r="A131" s="28"/>
      <c r="B131" s="28"/>
      <c r="C131" s="28" t="s">
        <v>100</v>
      </c>
      <c r="D131" s="53">
        <v>-16000</v>
      </c>
      <c r="E131" s="53">
        <v>-16248</v>
      </c>
      <c r="F131" s="52">
        <v>-16248.26</v>
      </c>
      <c r="G131" s="53">
        <f t="shared" si="81"/>
        <v>-0.26000000000021828</v>
      </c>
      <c r="I131" s="2"/>
    </row>
    <row r="132" spans="1:9" x14ac:dyDescent="0.25">
      <c r="A132" s="28"/>
      <c r="B132" s="28"/>
      <c r="C132" s="28" t="s">
        <v>95</v>
      </c>
      <c r="D132" s="53">
        <v>0</v>
      </c>
      <c r="E132" s="53">
        <v>-12470</v>
      </c>
      <c r="F132" s="52">
        <v>-12470.17</v>
      </c>
      <c r="G132" s="53">
        <f t="shared" si="81"/>
        <v>-0.17000000000007276</v>
      </c>
      <c r="I132" s="2"/>
    </row>
    <row r="133" spans="1:9" s="14" customFormat="1" x14ac:dyDescent="0.25">
      <c r="A133" s="51"/>
      <c r="B133" s="51"/>
      <c r="C133" s="51" t="s">
        <v>80</v>
      </c>
      <c r="D133" s="55">
        <f>SUM(D134:D136)+D145</f>
        <v>-505320661</v>
      </c>
      <c r="E133" s="55">
        <f t="shared" ref="E133:F133" si="82">SUM(E134:E136)+E145</f>
        <v>-505320660.77000004</v>
      </c>
      <c r="F133" s="54">
        <f t="shared" si="82"/>
        <v>-433449993.66000009</v>
      </c>
      <c r="G133" s="53">
        <f t="shared" si="81"/>
        <v>71870667.109999955</v>
      </c>
      <c r="H133" s="9"/>
      <c r="I133" s="2"/>
    </row>
    <row r="134" spans="1:9" x14ac:dyDescent="0.25">
      <c r="A134" s="28"/>
      <c r="B134" s="28"/>
      <c r="C134" s="28" t="s">
        <v>89</v>
      </c>
      <c r="D134" s="53">
        <v>-113030468</v>
      </c>
      <c r="E134" s="53">
        <v>-143012467.86000001</v>
      </c>
      <c r="F134" s="52">
        <v>-140165750.59</v>
      </c>
      <c r="G134" s="53">
        <f t="shared" ref="G134:G135" si="83">F134-E134</f>
        <v>2846717.2700000107</v>
      </c>
      <c r="I134" s="2"/>
    </row>
    <row r="135" spans="1:9" x14ac:dyDescent="0.25">
      <c r="A135" s="28"/>
      <c r="B135" s="28"/>
      <c r="C135" s="28" t="s">
        <v>90</v>
      </c>
      <c r="D135" s="53">
        <v>0</v>
      </c>
      <c r="E135" s="53">
        <v>0</v>
      </c>
      <c r="F135" s="52">
        <v>-2604.2399999999998</v>
      </c>
      <c r="G135" s="53">
        <f t="shared" si="83"/>
        <v>-2604.2399999999998</v>
      </c>
      <c r="I135" s="2"/>
    </row>
    <row r="136" spans="1:9" x14ac:dyDescent="0.25">
      <c r="A136" s="28"/>
      <c r="B136" s="28"/>
      <c r="C136" s="28" t="s">
        <v>94</v>
      </c>
      <c r="D136" s="53">
        <f>SUM(D137:D144)</f>
        <v>-392290193</v>
      </c>
      <c r="E136" s="53">
        <f t="shared" ref="E136:F136" si="84">SUM(E137:E144)</f>
        <v>-362308192.91000003</v>
      </c>
      <c r="F136" s="52">
        <f t="shared" si="84"/>
        <v>-292785768.96000004</v>
      </c>
      <c r="G136" s="55">
        <f t="shared" si="81"/>
        <v>69522423.949999988</v>
      </c>
      <c r="I136" s="2"/>
    </row>
    <row r="137" spans="1:9" s="24" customFormat="1" x14ac:dyDescent="0.25">
      <c r="A137" s="57"/>
      <c r="B137" s="57"/>
      <c r="C137" s="57" t="s">
        <v>102</v>
      </c>
      <c r="D137" s="58">
        <v>-29982000</v>
      </c>
      <c r="E137" s="58">
        <v>0</v>
      </c>
      <c r="F137" s="62">
        <v>0</v>
      </c>
      <c r="G137" s="58">
        <f t="shared" si="81"/>
        <v>0</v>
      </c>
      <c r="H137" s="25"/>
      <c r="I137" s="2"/>
    </row>
    <row r="138" spans="1:9" s="24" customFormat="1" x14ac:dyDescent="0.25">
      <c r="A138" s="57"/>
      <c r="B138" s="57"/>
      <c r="C138" s="57" t="s">
        <v>103</v>
      </c>
      <c r="D138" s="58">
        <v>-242443</v>
      </c>
      <c r="E138" s="58">
        <v>-242443</v>
      </c>
      <c r="F138" s="62">
        <v>-200209.8</v>
      </c>
      <c r="G138" s="58">
        <f t="shared" si="81"/>
        <v>42233.200000000012</v>
      </c>
      <c r="H138" s="25"/>
      <c r="I138" s="2"/>
    </row>
    <row r="139" spans="1:9" s="24" customFormat="1" x14ac:dyDescent="0.25">
      <c r="A139" s="57"/>
      <c r="B139" s="57"/>
      <c r="C139" s="57" t="s">
        <v>104</v>
      </c>
      <c r="D139" s="58">
        <v>-112262622</v>
      </c>
      <c r="E139" s="58">
        <v>-112262622.42</v>
      </c>
      <c r="F139" s="62">
        <v>-105008262.16</v>
      </c>
      <c r="G139" s="58">
        <f t="shared" ref="G139:G145" si="85">F139-E139</f>
        <v>7254360.2600000054</v>
      </c>
      <c r="H139" s="25"/>
      <c r="I139" s="2"/>
    </row>
    <row r="140" spans="1:9" s="24" customFormat="1" x14ac:dyDescent="0.25">
      <c r="A140" s="57"/>
      <c r="B140" s="57"/>
      <c r="C140" s="57" t="s">
        <v>105</v>
      </c>
      <c r="D140" s="58">
        <v>-2031000</v>
      </c>
      <c r="E140" s="58">
        <v>-2031000</v>
      </c>
      <c r="F140" s="62">
        <v>-2091687.05</v>
      </c>
      <c r="G140" s="58">
        <f t="shared" si="85"/>
        <v>-60687.050000000047</v>
      </c>
      <c r="H140" s="25"/>
      <c r="I140" s="2"/>
    </row>
    <row r="141" spans="1:9" s="24" customFormat="1" x14ac:dyDescent="0.25">
      <c r="A141" s="57"/>
      <c r="B141" s="57"/>
      <c r="C141" s="57" t="s">
        <v>106</v>
      </c>
      <c r="D141" s="58">
        <v>-226764835</v>
      </c>
      <c r="E141" s="58">
        <v>-226764834.56999999</v>
      </c>
      <c r="F141" s="62">
        <v>-165006856.21000001</v>
      </c>
      <c r="G141" s="58">
        <f t="shared" si="85"/>
        <v>61757978.359999985</v>
      </c>
      <c r="H141" s="25"/>
      <c r="I141" s="2"/>
    </row>
    <row r="142" spans="1:9" s="24" customFormat="1" x14ac:dyDescent="0.25">
      <c r="A142" s="57"/>
      <c r="B142" s="57"/>
      <c r="C142" s="57" t="s">
        <v>107</v>
      </c>
      <c r="D142" s="58">
        <v>-17815000</v>
      </c>
      <c r="E142" s="58">
        <f>-17814999.99</f>
        <v>-17814999.989999998</v>
      </c>
      <c r="F142" s="62">
        <v>-17840536.050000001</v>
      </c>
      <c r="G142" s="58">
        <f t="shared" si="85"/>
        <v>-25536.060000002384</v>
      </c>
      <c r="H142" s="25"/>
      <c r="I142" s="2"/>
    </row>
    <row r="143" spans="1:9" s="24" customFormat="1" x14ac:dyDescent="0.25">
      <c r="A143" s="57"/>
      <c r="B143" s="57"/>
      <c r="C143" s="57" t="s">
        <v>108</v>
      </c>
      <c r="D143" s="58">
        <v>-161000</v>
      </c>
      <c r="E143" s="58">
        <v>-161000</v>
      </c>
      <c r="F143" s="62">
        <v>-75943.55</v>
      </c>
      <c r="G143" s="58">
        <f t="shared" si="85"/>
        <v>85056.45</v>
      </c>
      <c r="H143" s="25"/>
      <c r="I143" s="2"/>
    </row>
    <row r="144" spans="1:9" s="24" customFormat="1" x14ac:dyDescent="0.25">
      <c r="A144" s="57"/>
      <c r="B144" s="57"/>
      <c r="C144" s="57" t="s">
        <v>109</v>
      </c>
      <c r="D144" s="58">
        <v>-3031293</v>
      </c>
      <c r="E144" s="58">
        <v>-3031292.93</v>
      </c>
      <c r="F144" s="62">
        <v>-2562274.14</v>
      </c>
      <c r="G144" s="58">
        <f t="shared" si="85"/>
        <v>469018.79000000004</v>
      </c>
      <c r="H144" s="25"/>
      <c r="I144" s="2"/>
    </row>
    <row r="145" spans="1:9" x14ac:dyDescent="0.25">
      <c r="A145" s="28"/>
      <c r="B145" s="28"/>
      <c r="C145" s="28" t="s">
        <v>95</v>
      </c>
      <c r="D145" s="53">
        <v>0</v>
      </c>
      <c r="E145" s="53">
        <v>0</v>
      </c>
      <c r="F145" s="52">
        <v>-495869.87</v>
      </c>
      <c r="G145" s="53">
        <f t="shared" si="85"/>
        <v>-495869.87</v>
      </c>
      <c r="I145" s="2"/>
    </row>
    <row r="146" spans="1:9" s="14" customFormat="1" x14ac:dyDescent="0.25">
      <c r="A146" s="51"/>
      <c r="B146" s="51"/>
      <c r="C146" s="51" t="s">
        <v>83</v>
      </c>
      <c r="D146" s="55">
        <f>SUM(D147:D147)</f>
        <v>-2756642304</v>
      </c>
      <c r="E146" s="55">
        <f t="shared" ref="E146" si="86">SUM(E147:E147)</f>
        <v>-2756642303.9899998</v>
      </c>
      <c r="F146" s="54">
        <f>SUM(F147:F147)</f>
        <v>-2787383951.2600002</v>
      </c>
      <c r="G146" s="55">
        <f>F146-E146</f>
        <v>-30741647.270000458</v>
      </c>
      <c r="H146" s="9"/>
      <c r="I146" s="2"/>
    </row>
    <row r="147" spans="1:9" x14ac:dyDescent="0.25">
      <c r="A147" s="28"/>
      <c r="B147" s="28"/>
      <c r="C147" s="28" t="s">
        <v>94</v>
      </c>
      <c r="D147" s="53">
        <f>D148</f>
        <v>-2756642304</v>
      </c>
      <c r="E147" s="53">
        <f t="shared" ref="E147" si="87">E148</f>
        <v>-2756642303.9899998</v>
      </c>
      <c r="F147" s="52">
        <v>-2787383951.2600002</v>
      </c>
      <c r="G147" s="53">
        <f t="shared" ref="G147:G148" si="88">F147-E147</f>
        <v>-30741647.270000458</v>
      </c>
      <c r="I147" s="2"/>
    </row>
    <row r="148" spans="1:9" s="24" customFormat="1" x14ac:dyDescent="0.25">
      <c r="A148" s="57"/>
      <c r="B148" s="57"/>
      <c r="C148" s="61" t="s">
        <v>106</v>
      </c>
      <c r="D148" s="62">
        <v>-2756642304</v>
      </c>
      <c r="E148" s="62">
        <v>-2756642303.9899998</v>
      </c>
      <c r="F148" s="52">
        <v>-2787383951.2600002</v>
      </c>
      <c r="G148" s="62">
        <f t="shared" si="88"/>
        <v>-30741647.270000458</v>
      </c>
      <c r="H148" s="25"/>
      <c r="I148" s="2"/>
    </row>
    <row r="149" spans="1:9" s="14" customFormat="1" x14ac:dyDescent="0.25">
      <c r="A149" s="51"/>
      <c r="B149" s="51"/>
      <c r="C149" s="51" t="s">
        <v>85</v>
      </c>
      <c r="D149" s="55">
        <v>-10014</v>
      </c>
      <c r="E149" s="55">
        <v>-10013.709999999999</v>
      </c>
      <c r="F149" s="54">
        <v>-3416</v>
      </c>
      <c r="G149" s="55">
        <f t="shared" si="81"/>
        <v>6597.7099999999991</v>
      </c>
      <c r="H149" s="9"/>
      <c r="I149" s="2"/>
    </row>
    <row r="150" spans="1:9" x14ac:dyDescent="0.25">
      <c r="A150" s="51"/>
      <c r="B150" s="51" t="s">
        <v>88</v>
      </c>
      <c r="C150" s="51"/>
      <c r="D150" s="55">
        <f>SUM(D151:D153)</f>
        <v>-1957256</v>
      </c>
      <c r="E150" s="55">
        <f>SUM(E151:E153)</f>
        <v>-2352148.56</v>
      </c>
      <c r="F150" s="54">
        <f>SUM(F151:F153)</f>
        <v>-2353043.88</v>
      </c>
      <c r="G150" s="55">
        <f>F150-E150</f>
        <v>-895.31999999983236</v>
      </c>
      <c r="I150" s="2"/>
    </row>
    <row r="151" spans="1:9" x14ac:dyDescent="0.25">
      <c r="A151" s="28"/>
      <c r="B151" s="28"/>
      <c r="C151" s="28" t="s">
        <v>89</v>
      </c>
      <c r="D151" s="53">
        <f>D155+D160+D163</f>
        <v>-653329</v>
      </c>
      <c r="E151" s="53">
        <f t="shared" ref="E151:F151" si="89">E155+E160+E163</f>
        <v>-722058.72</v>
      </c>
      <c r="F151" s="52">
        <f t="shared" si="89"/>
        <v>-715929.26</v>
      </c>
      <c r="G151" s="53">
        <f t="shared" ref="G151:G153" si="90">F151-E151</f>
        <v>6129.4599999999627</v>
      </c>
      <c r="I151" s="2"/>
    </row>
    <row r="152" spans="1:9" x14ac:dyDescent="0.25">
      <c r="A152" s="28"/>
      <c r="B152" s="28"/>
      <c r="C152" s="28" t="s">
        <v>90</v>
      </c>
      <c r="D152" s="53">
        <f>D156+D161+D164</f>
        <v>-666278</v>
      </c>
      <c r="E152" s="53">
        <f t="shared" ref="E152:F152" si="91">E156+E161+E164</f>
        <v>-992440.88</v>
      </c>
      <c r="F152" s="52">
        <f t="shared" si="91"/>
        <v>-886370.35</v>
      </c>
      <c r="G152" s="53">
        <f t="shared" si="90"/>
        <v>106070.53000000003</v>
      </c>
      <c r="I152" s="2"/>
    </row>
    <row r="153" spans="1:9" x14ac:dyDescent="0.25">
      <c r="A153" s="28"/>
      <c r="B153" s="28"/>
      <c r="C153" s="28" t="s">
        <v>91</v>
      </c>
      <c r="D153" s="53">
        <f>D165+D158</f>
        <v>-637649</v>
      </c>
      <c r="E153" s="53">
        <f t="shared" ref="E153:F153" si="92">E165+E158</f>
        <v>-637648.96</v>
      </c>
      <c r="F153" s="52">
        <f t="shared" si="92"/>
        <v>-750744.27</v>
      </c>
      <c r="G153" s="53">
        <f t="shared" si="90"/>
        <v>-113095.31000000006</v>
      </c>
      <c r="I153" s="2"/>
    </row>
    <row r="154" spans="1:9" x14ac:dyDescent="0.25">
      <c r="A154" s="51"/>
      <c r="B154" s="51"/>
      <c r="C154" s="51" t="s">
        <v>79</v>
      </c>
      <c r="D154" s="55">
        <f>SUM(D155:D156)</f>
        <v>-1239371</v>
      </c>
      <c r="E154" s="55">
        <f>SUM(E155:E156)</f>
        <v>-1596429.06</v>
      </c>
      <c r="F154" s="54">
        <f>SUM(F155:F156)</f>
        <v>-1493350.73</v>
      </c>
      <c r="G154" s="55">
        <f>F154-E154</f>
        <v>103078.33000000007</v>
      </c>
      <c r="I154" s="2"/>
    </row>
    <row r="155" spans="1:9" x14ac:dyDescent="0.25">
      <c r="A155" s="28"/>
      <c r="B155" s="28"/>
      <c r="C155" s="28" t="s">
        <v>89</v>
      </c>
      <c r="D155" s="53">
        <v>-581209</v>
      </c>
      <c r="E155" s="53">
        <v>-646149.99</v>
      </c>
      <c r="F155" s="52">
        <v>-645017.19999999995</v>
      </c>
      <c r="G155" s="53">
        <f t="shared" ref="G155:G156" si="93">F155-E155</f>
        <v>1132.7900000000373</v>
      </c>
      <c r="I155" s="2"/>
    </row>
    <row r="156" spans="1:9" x14ac:dyDescent="0.25">
      <c r="A156" s="28"/>
      <c r="B156" s="28"/>
      <c r="C156" s="28" t="s">
        <v>90</v>
      </c>
      <c r="D156" s="53">
        <v>-658162</v>
      </c>
      <c r="E156" s="53">
        <v>-950279.07</v>
      </c>
      <c r="F156" s="52">
        <v>-848333.53</v>
      </c>
      <c r="G156" s="53">
        <f t="shared" si="93"/>
        <v>101945.53999999992</v>
      </c>
      <c r="I156" s="2"/>
    </row>
    <row r="157" spans="1:9" x14ac:dyDescent="0.25">
      <c r="A157" s="28"/>
      <c r="B157" s="28"/>
      <c r="C157" s="51" t="s">
        <v>80</v>
      </c>
      <c r="D157" s="55">
        <f>D158</f>
        <v>0</v>
      </c>
      <c r="E157" s="55">
        <f t="shared" ref="E157" si="94">E158</f>
        <v>0</v>
      </c>
      <c r="F157" s="54">
        <f t="shared" ref="F157" si="95">F158</f>
        <v>-20.22</v>
      </c>
      <c r="G157" s="55">
        <f>F157-E157</f>
        <v>-20.22</v>
      </c>
      <c r="I157" s="2"/>
    </row>
    <row r="158" spans="1:9" x14ac:dyDescent="0.25">
      <c r="A158" s="28"/>
      <c r="B158" s="28"/>
      <c r="C158" s="28" t="s">
        <v>95</v>
      </c>
      <c r="D158" s="53">
        <v>0</v>
      </c>
      <c r="E158" s="53">
        <v>0</v>
      </c>
      <c r="F158" s="52">
        <v>-20.22</v>
      </c>
      <c r="G158" s="53">
        <f t="shared" ref="G158" si="96">F158-E158</f>
        <v>-20.22</v>
      </c>
      <c r="I158" s="2"/>
    </row>
    <row r="159" spans="1:9" s="14" customFormat="1" x14ac:dyDescent="0.25">
      <c r="A159" s="51"/>
      <c r="B159" s="51"/>
      <c r="C159" s="51" t="s">
        <v>81</v>
      </c>
      <c r="D159" s="55">
        <f>SUM(D160:D161)</f>
        <v>-38853</v>
      </c>
      <c r="E159" s="55">
        <f t="shared" ref="E159:F159" si="97">SUM(E160:E161)</f>
        <v>-83797.399999999994</v>
      </c>
      <c r="F159" s="54">
        <f t="shared" si="97"/>
        <v>-78191.25</v>
      </c>
      <c r="G159" s="55">
        <f>F159-E159</f>
        <v>5606.1499999999942</v>
      </c>
      <c r="H159" s="9"/>
      <c r="I159" s="2"/>
    </row>
    <row r="160" spans="1:9" x14ac:dyDescent="0.25">
      <c r="A160" s="28"/>
      <c r="B160" s="28"/>
      <c r="C160" s="28" t="s">
        <v>89</v>
      </c>
      <c r="D160" s="53">
        <v>-32360</v>
      </c>
      <c r="E160" s="53">
        <v>-56304.63</v>
      </c>
      <c r="F160" s="52">
        <v>-51309.9</v>
      </c>
      <c r="G160" s="53">
        <f t="shared" ref="G160:G161" si="98">F160-E160</f>
        <v>4994.7299999999959</v>
      </c>
      <c r="I160" s="2"/>
    </row>
    <row r="161" spans="1:9" x14ac:dyDescent="0.25">
      <c r="A161" s="28"/>
      <c r="B161" s="28"/>
      <c r="C161" s="28" t="s">
        <v>90</v>
      </c>
      <c r="D161" s="53">
        <v>-6493</v>
      </c>
      <c r="E161" s="53">
        <v>-27492.77</v>
      </c>
      <c r="F161" s="52">
        <v>-26881.35</v>
      </c>
      <c r="G161" s="53">
        <f t="shared" si="98"/>
        <v>611.42000000000189</v>
      </c>
      <c r="I161" s="2"/>
    </row>
    <row r="162" spans="1:9" s="14" customFormat="1" x14ac:dyDescent="0.25">
      <c r="A162" s="51"/>
      <c r="B162" s="51"/>
      <c r="C162" s="51" t="s">
        <v>82</v>
      </c>
      <c r="D162" s="55">
        <f>SUM(D163:D164)</f>
        <v>-41383</v>
      </c>
      <c r="E162" s="55">
        <f t="shared" ref="E162" si="99">SUM(E163:E164)</f>
        <v>-34273.14</v>
      </c>
      <c r="F162" s="54">
        <f t="shared" ref="F162" si="100">SUM(F163:F164)</f>
        <v>-30757.629999999997</v>
      </c>
      <c r="G162" s="55">
        <f>F162-E162</f>
        <v>3515.510000000002</v>
      </c>
      <c r="H162" s="9"/>
      <c r="I162" s="2"/>
    </row>
    <row r="163" spans="1:9" x14ac:dyDescent="0.25">
      <c r="A163" s="28"/>
      <c r="B163" s="28"/>
      <c r="C163" s="28" t="s">
        <v>89</v>
      </c>
      <c r="D163" s="53">
        <v>-39760</v>
      </c>
      <c r="E163" s="53">
        <v>-19604.099999999999</v>
      </c>
      <c r="F163" s="52">
        <v>-19602.16</v>
      </c>
      <c r="G163" s="53">
        <f t="shared" ref="G163:G171" si="101">F163-E163</f>
        <v>1.9399999999986903</v>
      </c>
      <c r="I163" s="2"/>
    </row>
    <row r="164" spans="1:9" x14ac:dyDescent="0.25">
      <c r="A164" s="28"/>
      <c r="B164" s="28"/>
      <c r="C164" s="28" t="s">
        <v>90</v>
      </c>
      <c r="D164" s="53">
        <v>-1623</v>
      </c>
      <c r="E164" s="53">
        <v>-14669.04</v>
      </c>
      <c r="F164" s="52">
        <v>-11155.47</v>
      </c>
      <c r="G164" s="53">
        <f t="shared" si="101"/>
        <v>3513.5700000000015</v>
      </c>
      <c r="I164" s="2"/>
    </row>
    <row r="165" spans="1:9" s="14" customFormat="1" x14ac:dyDescent="0.25">
      <c r="A165" s="51"/>
      <c r="B165" s="51"/>
      <c r="C165" s="51" t="s">
        <v>85</v>
      </c>
      <c r="D165" s="55">
        <v>-637649</v>
      </c>
      <c r="E165" s="55">
        <v>-637648.96</v>
      </c>
      <c r="F165" s="54">
        <v>-750724.05</v>
      </c>
      <c r="G165" s="55">
        <f t="shared" si="101"/>
        <v>-113075.09000000008</v>
      </c>
      <c r="H165" s="9"/>
      <c r="I165" s="2"/>
    </row>
    <row r="166" spans="1:9" s="14" customFormat="1" ht="15.75" x14ac:dyDescent="0.25">
      <c r="A166" s="41" t="s">
        <v>25</v>
      </c>
      <c r="B166" s="51"/>
      <c r="C166" s="51"/>
      <c r="D166" s="54">
        <f>SUM(D167:D171)</f>
        <v>-168366081</v>
      </c>
      <c r="E166" s="54">
        <f>SUM(E167:E171)</f>
        <v>-169373988.96999997</v>
      </c>
      <c r="F166" s="54">
        <f>SUM(F167:F171)</f>
        <v>-157491510.32000002</v>
      </c>
      <c r="G166" s="54">
        <f t="shared" si="101"/>
        <v>11882478.649999946</v>
      </c>
      <c r="H166" s="9"/>
      <c r="I166" s="2"/>
    </row>
    <row r="167" spans="1:9" ht="15.75" x14ac:dyDescent="0.25">
      <c r="A167" s="34"/>
      <c r="B167" s="28" t="s">
        <v>79</v>
      </c>
      <c r="C167" s="28"/>
      <c r="D167" s="52">
        <f>D173+D227</f>
        <v>-71439582</v>
      </c>
      <c r="E167" s="52">
        <f t="shared" ref="E167:F167" si="102">E173+E227</f>
        <v>-79578961.089999989</v>
      </c>
      <c r="F167" s="52">
        <f t="shared" si="102"/>
        <v>-75583238.24000001</v>
      </c>
      <c r="G167" s="52">
        <f t="shared" si="101"/>
        <v>3995722.8499999791</v>
      </c>
      <c r="I167" s="2"/>
    </row>
    <row r="168" spans="1:9" ht="15.75" x14ac:dyDescent="0.25">
      <c r="A168" s="34"/>
      <c r="B168" s="28" t="s">
        <v>80</v>
      </c>
      <c r="C168" s="28"/>
      <c r="D168" s="52">
        <f>D228</f>
        <v>-66413991</v>
      </c>
      <c r="E168" s="52">
        <f t="shared" ref="E168" si="103">E228</f>
        <v>-66413991</v>
      </c>
      <c r="F168" s="52">
        <f>F228+F174</f>
        <v>-63520898.420000002</v>
      </c>
      <c r="G168" s="52">
        <f t="shared" si="101"/>
        <v>2893092.5799999982</v>
      </c>
      <c r="I168" s="2"/>
    </row>
    <row r="169" spans="1:9" ht="15.75" x14ac:dyDescent="0.25">
      <c r="A169" s="34"/>
      <c r="B169" s="28" t="s">
        <v>81</v>
      </c>
      <c r="C169" s="28"/>
      <c r="D169" s="52">
        <f>D175+D229</f>
        <v>-29535630</v>
      </c>
      <c r="E169" s="52">
        <f t="shared" ref="E169:F169" si="104">E175+E229</f>
        <v>-22365929.280000001</v>
      </c>
      <c r="F169" s="52">
        <f t="shared" si="104"/>
        <v>-17261981.469999999</v>
      </c>
      <c r="G169" s="52">
        <f t="shared" ref="G169" si="105">F169-E169</f>
        <v>5103947.8100000024</v>
      </c>
      <c r="I169" s="2"/>
    </row>
    <row r="170" spans="1:9" x14ac:dyDescent="0.25">
      <c r="A170" s="28"/>
      <c r="B170" s="28" t="s">
        <v>82</v>
      </c>
      <c r="C170" s="28"/>
      <c r="D170" s="52">
        <f>D176+D230</f>
        <v>-12963</v>
      </c>
      <c r="E170" s="52">
        <f>E195+E222+E282</f>
        <v>-51192.599999999991</v>
      </c>
      <c r="F170" s="52">
        <f>F195+F222+F282</f>
        <v>-42058.979999999996</v>
      </c>
      <c r="G170" s="52">
        <f t="shared" si="101"/>
        <v>9133.6199999999953</v>
      </c>
      <c r="I170" s="2"/>
    </row>
    <row r="171" spans="1:9" x14ac:dyDescent="0.25">
      <c r="A171" s="28"/>
      <c r="B171" s="28" t="s">
        <v>85</v>
      </c>
      <c r="C171" s="28"/>
      <c r="D171" s="52">
        <f>D177+D231</f>
        <v>-963915</v>
      </c>
      <c r="E171" s="52">
        <f t="shared" ref="E171:F171" si="106">E177+E231</f>
        <v>-963915</v>
      </c>
      <c r="F171" s="52">
        <f t="shared" si="106"/>
        <v>-1083333.21</v>
      </c>
      <c r="G171" s="52">
        <f t="shared" si="101"/>
        <v>-119418.20999999996</v>
      </c>
      <c r="I171" s="2"/>
    </row>
    <row r="172" spans="1:9" s="14" customFormat="1" ht="15.75" x14ac:dyDescent="0.25">
      <c r="A172" s="39" t="s">
        <v>110</v>
      </c>
      <c r="B172" s="51"/>
      <c r="C172" s="51"/>
      <c r="D172" s="55">
        <f>SUM(D173:D177)</f>
        <v>-16226532</v>
      </c>
      <c r="E172" s="55">
        <f>SUM(E173:E177)</f>
        <v>-15969574.449999999</v>
      </c>
      <c r="F172" s="54">
        <f>SUM(F173:F177)</f>
        <v>-12620299.609999999</v>
      </c>
      <c r="G172" s="55">
        <f t="shared" ref="G172:G177" si="107">F172-E172</f>
        <v>3349274.84</v>
      </c>
      <c r="H172" s="9"/>
      <c r="I172" s="2"/>
    </row>
    <row r="173" spans="1:9" x14ac:dyDescent="0.25">
      <c r="A173" s="28"/>
      <c r="B173" s="28" t="s">
        <v>79</v>
      </c>
      <c r="C173" s="28"/>
      <c r="D173" s="53">
        <f>D184+D202+D214</f>
        <v>-4071512</v>
      </c>
      <c r="E173" s="53">
        <f t="shared" ref="E173:F173" si="108">E184+E202+E214</f>
        <v>-4614363.49</v>
      </c>
      <c r="F173" s="52">
        <f t="shared" si="108"/>
        <v>-3866470.29</v>
      </c>
      <c r="G173" s="53">
        <f t="shared" si="107"/>
        <v>747893.20000000019</v>
      </c>
      <c r="I173" s="2"/>
    </row>
    <row r="174" spans="1:9" x14ac:dyDescent="0.25">
      <c r="A174" s="28"/>
      <c r="B174" s="28" t="s">
        <v>80</v>
      </c>
      <c r="C174" s="28"/>
      <c r="D174" s="53">
        <f>D188</f>
        <v>0</v>
      </c>
      <c r="E174" s="53">
        <f>E188</f>
        <v>0</v>
      </c>
      <c r="F174" s="52">
        <f>F188+F217</f>
        <v>-14.83</v>
      </c>
      <c r="G174" s="53">
        <f t="shared" si="107"/>
        <v>-14.83</v>
      </c>
      <c r="I174" s="2"/>
    </row>
    <row r="175" spans="1:9" x14ac:dyDescent="0.25">
      <c r="A175" s="28"/>
      <c r="B175" s="28" t="s">
        <v>81</v>
      </c>
      <c r="C175" s="28"/>
      <c r="D175" s="53">
        <f>D190+D205+D219</f>
        <v>-12047849</v>
      </c>
      <c r="E175" s="53">
        <f t="shared" ref="E175:F175" si="109">E190+E205+E219</f>
        <v>-11215424.09</v>
      </c>
      <c r="F175" s="52">
        <f t="shared" si="109"/>
        <v>-8567472.8100000005</v>
      </c>
      <c r="G175" s="53">
        <f t="shared" si="107"/>
        <v>2647951.2799999993</v>
      </c>
      <c r="I175" s="2"/>
    </row>
    <row r="176" spans="1:9" x14ac:dyDescent="0.25">
      <c r="A176" s="28"/>
      <c r="B176" s="28" t="s">
        <v>82</v>
      </c>
      <c r="C176" s="28"/>
      <c r="D176" s="53">
        <f>D222</f>
        <v>-12737</v>
      </c>
      <c r="E176" s="53">
        <f>E222+E195</f>
        <v>-45352.869999999995</v>
      </c>
      <c r="F176" s="52">
        <f>F222+F195</f>
        <v>-40743.14</v>
      </c>
      <c r="G176" s="53">
        <f t="shared" si="107"/>
        <v>4609.7299999999959</v>
      </c>
      <c r="I176" s="2"/>
    </row>
    <row r="177" spans="1:9" x14ac:dyDescent="0.25">
      <c r="A177" s="28"/>
      <c r="B177" s="28" t="s">
        <v>85</v>
      </c>
      <c r="C177" s="28"/>
      <c r="D177" s="53">
        <f>D209+D225</f>
        <v>-94434</v>
      </c>
      <c r="E177" s="53">
        <f t="shared" ref="E177:F177" si="110">E209+E225</f>
        <v>-94434</v>
      </c>
      <c r="F177" s="52">
        <f t="shared" si="110"/>
        <v>-145598.54</v>
      </c>
      <c r="G177" s="53">
        <f t="shared" si="107"/>
        <v>-51164.540000000008</v>
      </c>
      <c r="I177" s="2"/>
    </row>
    <row r="178" spans="1:9" x14ac:dyDescent="0.25">
      <c r="A178" s="51"/>
      <c r="B178" s="51" t="s">
        <v>99</v>
      </c>
      <c r="C178" s="51"/>
      <c r="D178" s="55">
        <f>SUM(D179:D182)</f>
        <v>-14767724</v>
      </c>
      <c r="E178" s="55">
        <f>SUM(E179:E182)</f>
        <v>-14190032.83</v>
      </c>
      <c r="F178" s="54">
        <f>SUM(F179:F183)</f>
        <v>-11158407.360000001</v>
      </c>
      <c r="G178" s="55">
        <f>F178-E178</f>
        <v>3031625.4699999988</v>
      </c>
    </row>
    <row r="179" spans="1:9" x14ac:dyDescent="0.25">
      <c r="A179" s="28"/>
      <c r="B179" s="28"/>
      <c r="C179" s="28" t="s">
        <v>89</v>
      </c>
      <c r="D179" s="53">
        <f>D185+D191+D196</f>
        <v>-1290279</v>
      </c>
      <c r="E179" s="53">
        <f>E185+E191+E196</f>
        <v>-2546790.6100000003</v>
      </c>
      <c r="F179" s="52">
        <f>F185+F191+F196</f>
        <v>-1772373.5999999999</v>
      </c>
      <c r="G179" s="53">
        <f>F179-E179-G196</f>
        <v>774417.01000000047</v>
      </c>
      <c r="I179" s="2"/>
    </row>
    <row r="180" spans="1:9" x14ac:dyDescent="0.25">
      <c r="A180" s="28"/>
      <c r="B180" s="28"/>
      <c r="C180" s="28" t="s">
        <v>90</v>
      </c>
      <c r="D180" s="53">
        <f>D186+D192</f>
        <v>-638333</v>
      </c>
      <c r="E180" s="53">
        <f t="shared" ref="E180:F180" si="111">E186+E192</f>
        <v>-890652.64999999991</v>
      </c>
      <c r="F180" s="52">
        <f t="shared" si="111"/>
        <v>-478724.72</v>
      </c>
      <c r="G180" s="53">
        <f t="shared" ref="G180:G183" si="112">F180-E180</f>
        <v>411927.92999999993</v>
      </c>
      <c r="I180" s="2"/>
    </row>
    <row r="181" spans="1:9" x14ac:dyDescent="0.25">
      <c r="A181" s="28"/>
      <c r="B181" s="28"/>
      <c r="C181" s="28" t="s">
        <v>111</v>
      </c>
      <c r="D181" s="53">
        <f>D193</f>
        <v>-1548000</v>
      </c>
      <c r="E181" s="53">
        <f t="shared" ref="E181:F181" si="113">E193</f>
        <v>0</v>
      </c>
      <c r="F181" s="52">
        <f t="shared" si="113"/>
        <v>0</v>
      </c>
      <c r="G181" s="53">
        <f t="shared" ref="G181" si="114">F181-E181</f>
        <v>0</v>
      </c>
      <c r="I181" s="2"/>
    </row>
    <row r="182" spans="1:9" x14ac:dyDescent="0.25">
      <c r="A182" s="28"/>
      <c r="B182" s="28"/>
      <c r="C182" s="28" t="s">
        <v>100</v>
      </c>
      <c r="D182" s="53">
        <f>D187+D194</f>
        <v>-11291112</v>
      </c>
      <c r="E182" s="53">
        <f>E187+E194</f>
        <v>-10752589.57</v>
      </c>
      <c r="F182" s="52">
        <f>F187+F194</f>
        <v>-8907297.0600000005</v>
      </c>
      <c r="G182" s="53">
        <f t="shared" si="112"/>
        <v>1845292.5099999998</v>
      </c>
      <c r="I182" s="2"/>
    </row>
    <row r="183" spans="1:9" x14ac:dyDescent="0.25">
      <c r="A183" s="28"/>
      <c r="B183" s="28"/>
      <c r="C183" s="28" t="s">
        <v>95</v>
      </c>
      <c r="D183" s="53">
        <f>D189</f>
        <v>0</v>
      </c>
      <c r="E183" s="53">
        <f>E189</f>
        <v>0</v>
      </c>
      <c r="F183" s="52">
        <f>F189</f>
        <v>-11.98</v>
      </c>
      <c r="G183" s="53">
        <f t="shared" si="112"/>
        <v>-11.98</v>
      </c>
      <c r="I183" s="2"/>
    </row>
    <row r="184" spans="1:9" x14ac:dyDescent="0.25">
      <c r="A184" s="51"/>
      <c r="B184" s="51"/>
      <c r="C184" s="51" t="s">
        <v>79</v>
      </c>
      <c r="D184" s="55">
        <f>SUM(D185:D187)</f>
        <v>-3581174</v>
      </c>
      <c r="E184" s="55">
        <f t="shared" ref="E184:F184" si="115">SUM(E185:E187)</f>
        <v>-3781960.54</v>
      </c>
      <c r="F184" s="54">
        <f t="shared" si="115"/>
        <v>-3276471.9299999997</v>
      </c>
      <c r="G184" s="55">
        <f>F184-E184</f>
        <v>505488.61000000034</v>
      </c>
      <c r="I184" s="2"/>
    </row>
    <row r="185" spans="1:9" x14ac:dyDescent="0.25">
      <c r="A185" s="28"/>
      <c r="B185" s="28"/>
      <c r="C185" s="28" t="s">
        <v>89</v>
      </c>
      <c r="D185" s="53">
        <v>-1203010</v>
      </c>
      <c r="E185" s="53">
        <f>D185-381018.11</f>
        <v>-1584028.1099999999</v>
      </c>
      <c r="F185" s="52">
        <v>-1256265.2</v>
      </c>
      <c r="G185" s="53">
        <f t="shared" ref="G185:G189" si="116">F185-E185</f>
        <v>327762.90999999992</v>
      </c>
      <c r="I185" s="2"/>
    </row>
    <row r="186" spans="1:9" x14ac:dyDescent="0.25">
      <c r="A186" s="28"/>
      <c r="B186" s="28"/>
      <c r="C186" s="28" t="s">
        <v>90</v>
      </c>
      <c r="D186" s="53">
        <v>-579032</v>
      </c>
      <c r="E186" s="53">
        <f>D186+279536.06+19800</f>
        <v>-279695.94</v>
      </c>
      <c r="F186" s="52">
        <v>-191907.17</v>
      </c>
      <c r="G186" s="53">
        <f t="shared" si="116"/>
        <v>87788.76999999999</v>
      </c>
      <c r="I186" s="2"/>
    </row>
    <row r="187" spans="1:9" x14ac:dyDescent="0.25">
      <c r="A187" s="28"/>
      <c r="B187" s="28"/>
      <c r="C187" s="28" t="s">
        <v>100</v>
      </c>
      <c r="D187" s="53">
        <v>-1799132</v>
      </c>
      <c r="E187" s="53">
        <f>D187-99304.49-19800</f>
        <v>-1918236.49</v>
      </c>
      <c r="F187" s="52">
        <v>-1828299.56</v>
      </c>
      <c r="G187" s="53">
        <f t="shared" si="116"/>
        <v>89936.929999999935</v>
      </c>
      <c r="I187" s="2"/>
    </row>
    <row r="188" spans="1:9" x14ac:dyDescent="0.25">
      <c r="A188" s="28"/>
      <c r="B188" s="28"/>
      <c r="C188" s="51" t="s">
        <v>80</v>
      </c>
      <c r="D188" s="53">
        <f>D189</f>
        <v>0</v>
      </c>
      <c r="E188" s="53">
        <f>E189</f>
        <v>0</v>
      </c>
      <c r="F188" s="52">
        <f>F189</f>
        <v>-11.98</v>
      </c>
      <c r="G188" s="53">
        <f t="shared" si="116"/>
        <v>-11.98</v>
      </c>
      <c r="I188" s="2"/>
    </row>
    <row r="189" spans="1:9" x14ac:dyDescent="0.25">
      <c r="A189" s="28"/>
      <c r="B189" s="28"/>
      <c r="C189" s="28" t="s">
        <v>95</v>
      </c>
      <c r="D189" s="53">
        <v>0</v>
      </c>
      <c r="E189" s="53">
        <v>0</v>
      </c>
      <c r="F189" s="52">
        <v>-11.98</v>
      </c>
      <c r="G189" s="53">
        <f t="shared" si="116"/>
        <v>-11.98</v>
      </c>
      <c r="I189" s="2"/>
    </row>
    <row r="190" spans="1:9" s="14" customFormat="1" x14ac:dyDescent="0.25">
      <c r="A190" s="51"/>
      <c r="B190" s="51"/>
      <c r="C190" s="51" t="s">
        <v>81</v>
      </c>
      <c r="D190" s="55">
        <f>SUM(D191:D194)</f>
        <v>-11186550</v>
      </c>
      <c r="E190" s="55">
        <f t="shared" ref="E190:F190" si="117">SUM(E191:E194)</f>
        <v>-10407660.34</v>
      </c>
      <c r="F190" s="54">
        <f t="shared" si="117"/>
        <v>-7881511.5</v>
      </c>
      <c r="G190" s="55">
        <f>F190-E190</f>
        <v>2526148.84</v>
      </c>
      <c r="H190" s="9"/>
      <c r="I190" s="2"/>
    </row>
    <row r="191" spans="1:9" x14ac:dyDescent="0.25">
      <c r="A191" s="28"/>
      <c r="B191" s="28"/>
      <c r="C191" s="28" t="s">
        <v>89</v>
      </c>
      <c r="D191" s="53">
        <v>-87269</v>
      </c>
      <c r="E191" s="53">
        <f>D191-875081.55</f>
        <v>-962350.55</v>
      </c>
      <c r="F191" s="52">
        <v>-515696.45</v>
      </c>
      <c r="G191" s="53">
        <f t="shared" ref="G191:G196" si="118">F191-E191</f>
        <v>446654.10000000003</v>
      </c>
      <c r="I191" s="2"/>
    </row>
    <row r="192" spans="1:9" x14ac:dyDescent="0.25">
      <c r="A192" s="28"/>
      <c r="B192" s="28"/>
      <c r="C192" s="28" t="s">
        <v>90</v>
      </c>
      <c r="D192" s="53">
        <v>-59301</v>
      </c>
      <c r="E192" s="53">
        <f>D192-551655.71</f>
        <v>-610956.71</v>
      </c>
      <c r="F192" s="52">
        <v>-286817.55</v>
      </c>
      <c r="G192" s="53">
        <f t="shared" si="118"/>
        <v>324139.15999999997</v>
      </c>
      <c r="I192" s="2"/>
    </row>
    <row r="193" spans="1:9" x14ac:dyDescent="0.25">
      <c r="A193" s="28"/>
      <c r="B193" s="28"/>
      <c r="C193" s="28" t="s">
        <v>111</v>
      </c>
      <c r="D193" s="53">
        <v>-1548000</v>
      </c>
      <c r="E193" s="53">
        <f>D193+1548000</f>
        <v>0</v>
      </c>
      <c r="F193" s="52">
        <v>0</v>
      </c>
      <c r="G193" s="53">
        <f t="shared" si="118"/>
        <v>0</v>
      </c>
      <c r="I193" s="2"/>
    </row>
    <row r="194" spans="1:9" x14ac:dyDescent="0.25">
      <c r="A194" s="28"/>
      <c r="B194" s="28"/>
      <c r="C194" s="28" t="s">
        <v>100</v>
      </c>
      <c r="D194" s="53">
        <f>-6326190-1036137-3677653+1548000</f>
        <v>-9491980</v>
      </c>
      <c r="E194" s="53">
        <f>D194+657626.92</f>
        <v>-8834353.0800000001</v>
      </c>
      <c r="F194" s="52">
        <v>-7078997.5</v>
      </c>
      <c r="G194" s="53">
        <f t="shared" si="118"/>
        <v>1755355.58</v>
      </c>
      <c r="I194" s="2"/>
    </row>
    <row r="195" spans="1:9" x14ac:dyDescent="0.25">
      <c r="A195" s="28"/>
      <c r="B195" s="28"/>
      <c r="C195" s="51" t="s">
        <v>82</v>
      </c>
      <c r="D195" s="53">
        <f>D196</f>
        <v>0</v>
      </c>
      <c r="E195" s="53">
        <f>E196</f>
        <v>-411.95</v>
      </c>
      <c r="F195" s="52">
        <f>F196</f>
        <v>-411.95</v>
      </c>
      <c r="G195" s="53">
        <f t="shared" si="118"/>
        <v>0</v>
      </c>
      <c r="I195" s="2"/>
    </row>
    <row r="196" spans="1:9" x14ac:dyDescent="0.25">
      <c r="A196" s="28"/>
      <c r="B196" s="28"/>
      <c r="C196" s="28" t="s">
        <v>89</v>
      </c>
      <c r="D196" s="53">
        <v>0</v>
      </c>
      <c r="E196" s="53">
        <v>-411.95</v>
      </c>
      <c r="F196" s="52">
        <v>-411.95</v>
      </c>
      <c r="G196" s="53">
        <f t="shared" si="118"/>
        <v>0</v>
      </c>
      <c r="I196" s="2"/>
    </row>
    <row r="197" spans="1:9" x14ac:dyDescent="0.25">
      <c r="A197" s="51"/>
      <c r="B197" s="51" t="s">
        <v>93</v>
      </c>
      <c r="C197" s="51"/>
      <c r="D197" s="55">
        <f>SUM(D198:D201)</f>
        <v>-1008278</v>
      </c>
      <c r="E197" s="55">
        <f>SUM(E198:E201)</f>
        <v>-963479.78</v>
      </c>
      <c r="F197" s="54">
        <f>SUM(F198:F201)</f>
        <v>-834765.78</v>
      </c>
      <c r="G197" s="55">
        <f>F197-E197</f>
        <v>128714</v>
      </c>
      <c r="I197" s="2"/>
    </row>
    <row r="198" spans="1:9" x14ac:dyDescent="0.25">
      <c r="A198" s="28"/>
      <c r="B198" s="28"/>
      <c r="C198" s="28" t="s">
        <v>89</v>
      </c>
      <c r="D198" s="53">
        <f t="shared" ref="D198:F199" si="119">D203+D206</f>
        <v>-185007</v>
      </c>
      <c r="E198" s="53">
        <f t="shared" si="119"/>
        <v>-659558.14</v>
      </c>
      <c r="F198" s="52">
        <f t="shared" si="119"/>
        <v>-612037.52</v>
      </c>
      <c r="G198" s="53">
        <f t="shared" ref="G198:G201" si="120">F198-E198</f>
        <v>47520.619999999995</v>
      </c>
      <c r="I198" s="2"/>
    </row>
    <row r="199" spans="1:9" x14ac:dyDescent="0.25">
      <c r="A199" s="28"/>
      <c r="B199" s="28"/>
      <c r="C199" s="28" t="s">
        <v>90</v>
      </c>
      <c r="D199" s="53">
        <f t="shared" si="119"/>
        <v>-11907</v>
      </c>
      <c r="E199" s="53">
        <f t="shared" si="119"/>
        <v>-302909.64</v>
      </c>
      <c r="F199" s="52">
        <f t="shared" si="119"/>
        <v>-222506.75</v>
      </c>
      <c r="G199" s="53">
        <f t="shared" si="120"/>
        <v>80402.890000000014</v>
      </c>
      <c r="I199" s="2"/>
    </row>
    <row r="200" spans="1:9" x14ac:dyDescent="0.25">
      <c r="A200" s="28"/>
      <c r="B200" s="28"/>
      <c r="C200" s="28" t="s">
        <v>100</v>
      </c>
      <c r="D200" s="53">
        <f>D208</f>
        <v>-810352</v>
      </c>
      <c r="E200" s="53">
        <f t="shared" ref="E200:F200" si="121">E208</f>
        <v>0</v>
      </c>
      <c r="F200" s="52">
        <f t="shared" si="121"/>
        <v>0</v>
      </c>
      <c r="G200" s="53">
        <f t="shared" si="120"/>
        <v>0</v>
      </c>
      <c r="I200" s="2"/>
    </row>
    <row r="201" spans="1:9" x14ac:dyDescent="0.25">
      <c r="A201" s="28"/>
      <c r="B201" s="28"/>
      <c r="C201" s="28" t="s">
        <v>91</v>
      </c>
      <c r="D201" s="53">
        <f>D209</f>
        <v>-1012</v>
      </c>
      <c r="E201" s="53">
        <f t="shared" ref="E201:F201" si="122">E209</f>
        <v>-1012</v>
      </c>
      <c r="F201" s="52">
        <f t="shared" si="122"/>
        <v>-221.51</v>
      </c>
      <c r="G201" s="53">
        <f t="shared" si="120"/>
        <v>790.49</v>
      </c>
      <c r="I201" s="2"/>
    </row>
    <row r="202" spans="1:9" x14ac:dyDescent="0.25">
      <c r="A202" s="51"/>
      <c r="B202" s="51"/>
      <c r="C202" s="51" t="s">
        <v>79</v>
      </c>
      <c r="D202" s="55">
        <f>SUM(D203:D204)</f>
        <v>-196914</v>
      </c>
      <c r="E202" s="55">
        <f>SUM(E203:E204)</f>
        <v>-229829.27</v>
      </c>
      <c r="F202" s="54">
        <f>SUM(F203:F204)</f>
        <v>-216357.47</v>
      </c>
      <c r="G202" s="55">
        <f>F202-E202</f>
        <v>13471.799999999988</v>
      </c>
      <c r="I202" s="2"/>
    </row>
    <row r="203" spans="1:9" x14ac:dyDescent="0.25">
      <c r="A203" s="28"/>
      <c r="B203" s="28"/>
      <c r="C203" s="28" t="s">
        <v>89</v>
      </c>
      <c r="D203" s="53">
        <v>-185007</v>
      </c>
      <c r="E203" s="53">
        <f>D203-10095.15</f>
        <v>-195102.15</v>
      </c>
      <c r="F203" s="52">
        <v>-188415.65</v>
      </c>
      <c r="G203" s="53">
        <f t="shared" ref="G203:G208" si="123">F203-E203</f>
        <v>6686.5</v>
      </c>
      <c r="I203" s="2"/>
    </row>
    <row r="204" spans="1:9" x14ac:dyDescent="0.25">
      <c r="A204" s="28"/>
      <c r="B204" s="28"/>
      <c r="C204" s="28" t="s">
        <v>90</v>
      </c>
      <c r="D204" s="53">
        <v>-11907</v>
      </c>
      <c r="E204" s="53">
        <f>D204-22820.12</f>
        <v>-34727.119999999995</v>
      </c>
      <c r="F204" s="52">
        <v>-27941.82</v>
      </c>
      <c r="G204" s="53">
        <f t="shared" si="123"/>
        <v>6785.2999999999956</v>
      </c>
      <c r="I204" s="2"/>
    </row>
    <row r="205" spans="1:9" s="14" customFormat="1" x14ac:dyDescent="0.25">
      <c r="A205" s="51"/>
      <c r="B205" s="51"/>
      <c r="C205" s="51" t="s">
        <v>81</v>
      </c>
      <c r="D205" s="55">
        <f>SUM(D206:D208)</f>
        <v>-810352</v>
      </c>
      <c r="E205" s="55">
        <f>SUM(E206:E208)</f>
        <v>-732638.51</v>
      </c>
      <c r="F205" s="54">
        <f>SUM(F206:F208)</f>
        <v>-618186.80000000005</v>
      </c>
      <c r="G205" s="53">
        <f t="shared" si="123"/>
        <v>114451.70999999996</v>
      </c>
      <c r="H205" s="9"/>
      <c r="I205" s="2"/>
    </row>
    <row r="206" spans="1:9" s="14" customFormat="1" x14ac:dyDescent="0.25">
      <c r="A206" s="51"/>
      <c r="B206" s="51"/>
      <c r="C206" s="28" t="s">
        <v>89</v>
      </c>
      <c r="D206" s="55">
        <v>0</v>
      </c>
      <c r="E206" s="53">
        <v>-464455.99</v>
      </c>
      <c r="F206" s="52">
        <v>-423621.87</v>
      </c>
      <c r="G206" s="53">
        <f t="shared" si="123"/>
        <v>40834.119999999995</v>
      </c>
      <c r="H206" s="9"/>
      <c r="I206" s="2"/>
    </row>
    <row r="207" spans="1:9" s="14" customFormat="1" x14ac:dyDescent="0.25">
      <c r="A207" s="51"/>
      <c r="B207" s="51"/>
      <c r="C207" s="28" t="s">
        <v>90</v>
      </c>
      <c r="D207" s="55">
        <v>0</v>
      </c>
      <c r="E207" s="53">
        <v>-268182.52</v>
      </c>
      <c r="F207" s="52">
        <v>-194564.93</v>
      </c>
      <c r="G207" s="53">
        <f t="shared" si="123"/>
        <v>73617.590000000026</v>
      </c>
      <c r="H207" s="9"/>
      <c r="I207" s="2"/>
    </row>
    <row r="208" spans="1:9" x14ac:dyDescent="0.25">
      <c r="A208" s="28"/>
      <c r="B208" s="28"/>
      <c r="C208" s="28" t="s">
        <v>100</v>
      </c>
      <c r="D208" s="53">
        <v>-810352</v>
      </c>
      <c r="E208" s="53">
        <f>D208+810352</f>
        <v>0</v>
      </c>
      <c r="F208" s="52">
        <v>0</v>
      </c>
      <c r="G208" s="53">
        <f t="shared" si="123"/>
        <v>0</v>
      </c>
      <c r="I208" s="2"/>
    </row>
    <row r="209" spans="1:9" s="14" customFormat="1" x14ac:dyDescent="0.25">
      <c r="A209" s="51"/>
      <c r="B209" s="51"/>
      <c r="C209" s="51" t="s">
        <v>85</v>
      </c>
      <c r="D209" s="55">
        <v>-1012</v>
      </c>
      <c r="E209" s="55">
        <f t="shared" ref="E209" si="124">D209</f>
        <v>-1012</v>
      </c>
      <c r="F209" s="54">
        <v>-221.51</v>
      </c>
      <c r="G209" s="55">
        <f t="shared" ref="G209" si="125">F209-E209</f>
        <v>790.49</v>
      </c>
      <c r="H209" s="9"/>
      <c r="I209" s="2"/>
    </row>
    <row r="210" spans="1:9" x14ac:dyDescent="0.25">
      <c r="A210" s="51"/>
      <c r="B210" s="51" t="s">
        <v>88</v>
      </c>
      <c r="C210" s="51"/>
      <c r="D210" s="55">
        <f>SUM(D211:D213)</f>
        <v>-450530</v>
      </c>
      <c r="E210" s="54">
        <f>SUM(E211:E213)</f>
        <v>-816061.84000000008</v>
      </c>
      <c r="F210" s="54">
        <f>SUM(F211:F213)</f>
        <v>-627126.47</v>
      </c>
      <c r="G210" s="55">
        <f>F210-E210</f>
        <v>188935.37000000011</v>
      </c>
      <c r="I210" s="2"/>
    </row>
    <row r="211" spans="1:9" x14ac:dyDescent="0.25">
      <c r="A211" s="28"/>
      <c r="B211" s="28"/>
      <c r="C211" s="28" t="s">
        <v>89</v>
      </c>
      <c r="D211" s="53">
        <f>D215+D220+D223</f>
        <v>-226262</v>
      </c>
      <c r="E211" s="53">
        <f t="shared" ref="E211:F211" si="126">E215+E220+E223</f>
        <v>-233430.86</v>
      </c>
      <c r="F211" s="52">
        <f t="shared" si="126"/>
        <v>-223649.12999999998</v>
      </c>
      <c r="G211" s="53">
        <f t="shared" ref="G211:G213" si="127">F211-E211</f>
        <v>9781.7300000000105</v>
      </c>
      <c r="I211" s="2"/>
    </row>
    <row r="212" spans="1:9" x14ac:dyDescent="0.25">
      <c r="A212" s="28"/>
      <c r="B212" s="28"/>
      <c r="C212" s="28" t="s">
        <v>90</v>
      </c>
      <c r="D212" s="53">
        <f>D216+D221+D224</f>
        <v>-130846</v>
      </c>
      <c r="E212" s="53">
        <f t="shared" ref="E212:F212" si="128">E216+E221+E224</f>
        <v>-489208.98000000004</v>
      </c>
      <c r="F212" s="52">
        <f t="shared" si="128"/>
        <v>-258097.46000000002</v>
      </c>
      <c r="G212" s="53">
        <f t="shared" si="127"/>
        <v>231111.52000000002</v>
      </c>
      <c r="I212" s="2"/>
    </row>
    <row r="213" spans="1:9" x14ac:dyDescent="0.25">
      <c r="A213" s="28"/>
      <c r="B213" s="28"/>
      <c r="C213" s="28" t="s">
        <v>91</v>
      </c>
      <c r="D213" s="53">
        <f>D225+D218</f>
        <v>-93422</v>
      </c>
      <c r="E213" s="53">
        <f>E225+E218</f>
        <v>-93422</v>
      </c>
      <c r="F213" s="52">
        <f>F225+F218</f>
        <v>-145379.88</v>
      </c>
      <c r="G213" s="53">
        <f t="shared" si="127"/>
        <v>-51957.880000000005</v>
      </c>
      <c r="I213" s="2"/>
    </row>
    <row r="214" spans="1:9" x14ac:dyDescent="0.25">
      <c r="A214" s="51"/>
      <c r="B214" s="51"/>
      <c r="C214" s="51" t="s">
        <v>79</v>
      </c>
      <c r="D214" s="55">
        <f>SUM(D215:D216)</f>
        <v>-293424</v>
      </c>
      <c r="E214" s="55">
        <f>SUM(E215:E216)</f>
        <v>-602573.68000000005</v>
      </c>
      <c r="F214" s="54">
        <f>SUM(F215:F216)</f>
        <v>-373640.89</v>
      </c>
      <c r="G214" s="55">
        <f>F214-E214</f>
        <v>228932.79000000004</v>
      </c>
      <c r="I214" s="2"/>
    </row>
    <row r="215" spans="1:9" x14ac:dyDescent="0.25">
      <c r="A215" s="28"/>
      <c r="B215" s="28"/>
      <c r="C215" s="28" t="s">
        <v>89</v>
      </c>
      <c r="D215" s="53">
        <v>-173221</v>
      </c>
      <c r="E215" s="53">
        <f>D215+4582.41</f>
        <v>-168638.59</v>
      </c>
      <c r="F215" s="52">
        <v>-165408.76999999999</v>
      </c>
      <c r="G215" s="53">
        <f t="shared" ref="G215:G218" si="129">F215-E215</f>
        <v>3229.820000000007</v>
      </c>
      <c r="I215" s="2"/>
    </row>
    <row r="216" spans="1:9" x14ac:dyDescent="0.25">
      <c r="A216" s="28"/>
      <c r="B216" s="28"/>
      <c r="C216" s="28" t="s">
        <v>90</v>
      </c>
      <c r="D216" s="53">
        <v>-120203</v>
      </c>
      <c r="E216" s="53">
        <f>D216-313732.09</f>
        <v>-433935.09</v>
      </c>
      <c r="F216" s="52">
        <v>-208232.12</v>
      </c>
      <c r="G216" s="53">
        <f t="shared" si="129"/>
        <v>225702.97000000003</v>
      </c>
      <c r="I216" s="2"/>
    </row>
    <row r="217" spans="1:9" x14ac:dyDescent="0.25">
      <c r="A217" s="28"/>
      <c r="B217" s="28"/>
      <c r="C217" s="51" t="s">
        <v>80</v>
      </c>
      <c r="D217" s="53">
        <f>D218</f>
        <v>0</v>
      </c>
      <c r="E217" s="53">
        <f>E218</f>
        <v>0</v>
      </c>
      <c r="F217" s="52">
        <f>F218</f>
        <v>-2.85</v>
      </c>
      <c r="G217" s="53">
        <f t="shared" si="129"/>
        <v>-2.85</v>
      </c>
      <c r="I217" s="2"/>
    </row>
    <row r="218" spans="1:9" x14ac:dyDescent="0.25">
      <c r="A218" s="28"/>
      <c r="B218" s="28"/>
      <c r="C218" s="28" t="s">
        <v>95</v>
      </c>
      <c r="D218" s="53">
        <v>0</v>
      </c>
      <c r="E218" s="53">
        <v>0</v>
      </c>
      <c r="F218" s="52">
        <v>-2.85</v>
      </c>
      <c r="G218" s="53">
        <f t="shared" si="129"/>
        <v>-2.85</v>
      </c>
      <c r="I218" s="2"/>
    </row>
    <row r="219" spans="1:9" s="14" customFormat="1" x14ac:dyDescent="0.25">
      <c r="A219" s="51"/>
      <c r="B219" s="51"/>
      <c r="C219" s="51" t="s">
        <v>81</v>
      </c>
      <c r="D219" s="55">
        <f>SUM(D220:D221)</f>
        <v>-50947</v>
      </c>
      <c r="E219" s="55">
        <f t="shared" ref="E219" si="130">SUM(E220:E221)</f>
        <v>-75125.239999999991</v>
      </c>
      <c r="F219" s="54">
        <f t="shared" ref="F219" si="131">SUM(F220:F221)</f>
        <v>-67774.509999999995</v>
      </c>
      <c r="G219" s="55">
        <f>F219-E219</f>
        <v>7350.7299999999959</v>
      </c>
      <c r="H219" s="9"/>
      <c r="I219" s="2"/>
    </row>
    <row r="220" spans="1:9" x14ac:dyDescent="0.25">
      <c r="A220" s="28"/>
      <c r="B220" s="28"/>
      <c r="C220" s="28" t="s">
        <v>89</v>
      </c>
      <c r="D220" s="53">
        <v>-42433</v>
      </c>
      <c r="E220" s="53">
        <f>D220+3346.76</f>
        <v>-39086.239999999998</v>
      </c>
      <c r="F220" s="52">
        <v>-32536.87</v>
      </c>
      <c r="G220" s="53">
        <f t="shared" ref="G220:G221" si="132">F220-E220</f>
        <v>6549.369999999999</v>
      </c>
      <c r="I220" s="2"/>
    </row>
    <row r="221" spans="1:9" x14ac:dyDescent="0.25">
      <c r="A221" s="28"/>
      <c r="B221" s="28"/>
      <c r="C221" s="28" t="s">
        <v>90</v>
      </c>
      <c r="D221" s="53">
        <v>-8514</v>
      </c>
      <c r="E221" s="53">
        <f>D221-27525</f>
        <v>-36039</v>
      </c>
      <c r="F221" s="52">
        <v>-35237.64</v>
      </c>
      <c r="G221" s="53">
        <f t="shared" si="132"/>
        <v>801.36000000000058</v>
      </c>
      <c r="I221" s="2"/>
    </row>
    <row r="222" spans="1:9" s="14" customFormat="1" x14ac:dyDescent="0.25">
      <c r="A222" s="51"/>
      <c r="B222" s="51"/>
      <c r="C222" s="51" t="s">
        <v>82</v>
      </c>
      <c r="D222" s="55">
        <f>SUM(D223:D224)</f>
        <v>-12737</v>
      </c>
      <c r="E222" s="55">
        <f t="shared" ref="E222" si="133">SUM(E223:E224)</f>
        <v>-44940.92</v>
      </c>
      <c r="F222" s="54">
        <f t="shared" ref="F222" si="134">SUM(F223:F224)</f>
        <v>-40331.19</v>
      </c>
      <c r="G222" s="55">
        <f>F222-E222</f>
        <v>4609.7299999999959</v>
      </c>
      <c r="H222" s="9"/>
      <c r="I222" s="2"/>
    </row>
    <row r="223" spans="1:9" x14ac:dyDescent="0.25">
      <c r="A223" s="28"/>
      <c r="B223" s="28"/>
      <c r="C223" s="28" t="s">
        <v>89</v>
      </c>
      <c r="D223" s="53">
        <v>-10608</v>
      </c>
      <c r="E223" s="53">
        <f>D223-15098.03</f>
        <v>-25706.03</v>
      </c>
      <c r="F223" s="52">
        <v>-25703.49</v>
      </c>
      <c r="G223" s="53">
        <f t="shared" ref="G223:G231" si="135">F223-E223</f>
        <v>2.5399999999972351</v>
      </c>
      <c r="I223" s="2"/>
    </row>
    <row r="224" spans="1:9" x14ac:dyDescent="0.25">
      <c r="A224" s="28"/>
      <c r="B224" s="28"/>
      <c r="C224" s="28" t="s">
        <v>90</v>
      </c>
      <c r="D224" s="53">
        <v>-2129</v>
      </c>
      <c r="E224" s="53">
        <f>D224-17105.89</f>
        <v>-19234.89</v>
      </c>
      <c r="F224" s="52">
        <v>-14627.7</v>
      </c>
      <c r="G224" s="53">
        <f t="shared" si="135"/>
        <v>4607.1899999999987</v>
      </c>
      <c r="I224" s="2"/>
    </row>
    <row r="225" spans="1:9" s="14" customFormat="1" x14ac:dyDescent="0.25">
      <c r="A225" s="51"/>
      <c r="B225" s="51"/>
      <c r="C225" s="51" t="s">
        <v>85</v>
      </c>
      <c r="D225" s="55">
        <v>-93422</v>
      </c>
      <c r="E225" s="55">
        <f t="shared" ref="E225" si="136">D225</f>
        <v>-93422</v>
      </c>
      <c r="F225" s="54">
        <v>-145377.03</v>
      </c>
      <c r="G225" s="55">
        <f t="shared" si="135"/>
        <v>-51955.03</v>
      </c>
      <c r="H225" s="9"/>
      <c r="I225" s="2"/>
    </row>
    <row r="226" spans="1:9" s="14" customFormat="1" ht="15.75" x14ac:dyDescent="0.25">
      <c r="A226" s="39" t="s">
        <v>112</v>
      </c>
      <c r="B226" s="51"/>
      <c r="C226" s="51"/>
      <c r="D226" s="54">
        <f>SUM(D227:D231)</f>
        <v>-152139549</v>
      </c>
      <c r="E226" s="54">
        <f>SUM(E227:E231)</f>
        <v>-153404414.51999998</v>
      </c>
      <c r="F226" s="54">
        <f>SUM(F227:F231)</f>
        <v>-144871210.71000001</v>
      </c>
      <c r="G226" s="54">
        <f t="shared" si="135"/>
        <v>8533203.8099999726</v>
      </c>
      <c r="H226" s="9"/>
      <c r="I226" s="2"/>
    </row>
    <row r="227" spans="1:9" x14ac:dyDescent="0.25">
      <c r="A227" s="28"/>
      <c r="B227" s="28" t="s">
        <v>79</v>
      </c>
      <c r="C227" s="28"/>
      <c r="D227" s="52">
        <f>D251+D274+D290+D237</f>
        <v>-67368070</v>
      </c>
      <c r="E227" s="52">
        <f>E251+E274+E290+E237</f>
        <v>-74964597.599999994</v>
      </c>
      <c r="F227" s="52">
        <f>F251+F274+F290+F237</f>
        <v>-71716767.950000003</v>
      </c>
      <c r="G227" s="52">
        <f t="shared" si="135"/>
        <v>3247829.6499999911</v>
      </c>
      <c r="I227" s="2"/>
    </row>
    <row r="228" spans="1:9" x14ac:dyDescent="0.25">
      <c r="A228" s="28"/>
      <c r="B228" s="28" t="s">
        <v>80</v>
      </c>
      <c r="C228" s="28"/>
      <c r="D228" s="52">
        <f>D256</f>
        <v>-66413991</v>
      </c>
      <c r="E228" s="52">
        <f t="shared" ref="E228" si="137">E256</f>
        <v>-66413991</v>
      </c>
      <c r="F228" s="52">
        <f>F256+F277+F293</f>
        <v>-63520883.590000004</v>
      </c>
      <c r="G228" s="52">
        <f t="shared" si="135"/>
        <v>2893107.4099999964</v>
      </c>
      <c r="I228" s="2"/>
    </row>
    <row r="229" spans="1:9" x14ac:dyDescent="0.25">
      <c r="A229" s="28"/>
      <c r="B229" s="28" t="s">
        <v>81</v>
      </c>
      <c r="C229" s="28"/>
      <c r="D229" s="52">
        <f>D240+D265+D279+D295</f>
        <v>-17487781</v>
      </c>
      <c r="E229" s="52">
        <f>E240+E265+E279+E295</f>
        <v>-11150505.189999999</v>
      </c>
      <c r="F229" s="52">
        <f>F240+F265+F279+F295</f>
        <v>-8694508.6599999983</v>
      </c>
      <c r="G229" s="52">
        <f t="shared" si="135"/>
        <v>2455996.5300000012</v>
      </c>
      <c r="I229" s="2"/>
    </row>
    <row r="230" spans="1:9" x14ac:dyDescent="0.25">
      <c r="A230" s="28"/>
      <c r="B230" s="28" t="s">
        <v>82</v>
      </c>
      <c r="C230" s="28"/>
      <c r="D230" s="52">
        <f>D297+D282</f>
        <v>-226</v>
      </c>
      <c r="E230" s="52">
        <f>E297+E282</f>
        <v>-5839.73</v>
      </c>
      <c r="F230" s="52">
        <f>F297+F282</f>
        <v>-1315.8400000000001</v>
      </c>
      <c r="G230" s="52">
        <f t="shared" si="135"/>
        <v>4523.8899999999994</v>
      </c>
      <c r="I230" s="2"/>
    </row>
    <row r="231" spans="1:9" x14ac:dyDescent="0.25">
      <c r="A231" s="28"/>
      <c r="B231" s="28" t="s">
        <v>85</v>
      </c>
      <c r="C231" s="28"/>
      <c r="D231" s="53">
        <f>D269+D285+D299</f>
        <v>-869481</v>
      </c>
      <c r="E231" s="53">
        <f>E269+E285+E299</f>
        <v>-869481</v>
      </c>
      <c r="F231" s="52">
        <f>F269+F285+F299</f>
        <v>-937734.66999999993</v>
      </c>
      <c r="G231" s="53">
        <f t="shared" si="135"/>
        <v>-68253.669999999925</v>
      </c>
      <c r="I231" s="2"/>
    </row>
    <row r="232" spans="1:9" x14ac:dyDescent="0.25">
      <c r="A232" s="51"/>
      <c r="B232" s="51" t="s">
        <v>99</v>
      </c>
      <c r="C232" s="51"/>
      <c r="D232" s="55">
        <f>SUM(D233:D236)</f>
        <v>-12026877</v>
      </c>
      <c r="E232" s="55">
        <f>SUM(E233:E236)</f>
        <v>-7691939.4499999993</v>
      </c>
      <c r="F232" s="54">
        <f>SUM(F233:F236)</f>
        <v>-5544984.5999999996</v>
      </c>
      <c r="G232" s="55">
        <f>F232-E232</f>
        <v>2146954.8499999996</v>
      </c>
      <c r="I232" s="2"/>
    </row>
    <row r="233" spans="1:9" x14ac:dyDescent="0.25">
      <c r="A233" s="28"/>
      <c r="B233" s="28"/>
      <c r="C233" s="28" t="s">
        <v>89</v>
      </c>
      <c r="D233" s="53">
        <f>D241</f>
        <v>-72525</v>
      </c>
      <c r="E233" s="53">
        <f>E241</f>
        <v>-175218.97999999998</v>
      </c>
      <c r="F233" s="52">
        <f>F241</f>
        <v>-141837.25</v>
      </c>
      <c r="G233" s="53">
        <f t="shared" ref="G233:G239" si="138">F233-E233</f>
        <v>33381.729999999981</v>
      </c>
      <c r="I233" s="2"/>
    </row>
    <row r="234" spans="1:9" x14ac:dyDescent="0.25">
      <c r="A234" s="28"/>
      <c r="B234" s="28"/>
      <c r="C234" s="28" t="s">
        <v>90</v>
      </c>
      <c r="D234" s="53">
        <f>D242+D238</f>
        <v>-4213623</v>
      </c>
      <c r="E234" s="53">
        <f>E242+E238</f>
        <v>-5404497.54</v>
      </c>
      <c r="F234" s="52">
        <f>F242+F238</f>
        <v>-3290924.42</v>
      </c>
      <c r="G234" s="53">
        <f t="shared" si="138"/>
        <v>2113573.12</v>
      </c>
      <c r="I234" s="2"/>
    </row>
    <row r="235" spans="1:9" x14ac:dyDescent="0.25">
      <c r="A235" s="28"/>
      <c r="B235" s="28"/>
      <c r="C235" s="28" t="s">
        <v>111</v>
      </c>
      <c r="D235" s="53">
        <f>D243</f>
        <v>-7740729</v>
      </c>
      <c r="E235" s="53">
        <f t="shared" ref="E235:F235" si="139">E243</f>
        <v>-603717.20000000019</v>
      </c>
      <c r="F235" s="52">
        <f t="shared" si="139"/>
        <v>-603717.19999999995</v>
      </c>
      <c r="G235" s="53">
        <f t="shared" si="138"/>
        <v>0</v>
      </c>
      <c r="I235" s="2"/>
    </row>
    <row r="236" spans="1:9" x14ac:dyDescent="0.25">
      <c r="A236" s="28"/>
      <c r="B236" s="28"/>
      <c r="C236" s="28" t="s">
        <v>100</v>
      </c>
      <c r="D236" s="53">
        <f>D244</f>
        <v>0</v>
      </c>
      <c r="E236" s="53">
        <f>E244+E239</f>
        <v>-1508505.73</v>
      </c>
      <c r="F236" s="52">
        <f>F244+F239</f>
        <v>-1508505.73</v>
      </c>
      <c r="G236" s="53">
        <f t="shared" si="138"/>
        <v>0</v>
      </c>
      <c r="I236" s="2"/>
    </row>
    <row r="237" spans="1:9" x14ac:dyDescent="0.25">
      <c r="A237" s="28"/>
      <c r="B237" s="28"/>
      <c r="C237" s="51" t="s">
        <v>79</v>
      </c>
      <c r="D237" s="53">
        <f>SUM(D238:D239)</f>
        <v>0</v>
      </c>
      <c r="E237" s="53">
        <f>SUM(E238:E239)</f>
        <v>-2560127.88</v>
      </c>
      <c r="F237" s="52">
        <f>SUM(F238:F239)</f>
        <v>-1865318.67</v>
      </c>
      <c r="G237" s="53">
        <f t="shared" si="138"/>
        <v>694809.21</v>
      </c>
      <c r="I237" s="2"/>
    </row>
    <row r="238" spans="1:9" x14ac:dyDescent="0.25">
      <c r="A238" s="28"/>
      <c r="B238" s="28"/>
      <c r="C238" s="28" t="s">
        <v>90</v>
      </c>
      <c r="D238" s="53">
        <v>0</v>
      </c>
      <c r="E238" s="53">
        <v>-2187835</v>
      </c>
      <c r="F238" s="52">
        <v>-1493025.79</v>
      </c>
      <c r="G238" s="53">
        <f t="shared" si="138"/>
        <v>694809.21</v>
      </c>
      <c r="I238" s="2"/>
    </row>
    <row r="239" spans="1:9" x14ac:dyDescent="0.25">
      <c r="A239" s="28"/>
      <c r="B239" s="28"/>
      <c r="C239" s="28" t="s">
        <v>186</v>
      </c>
      <c r="D239" s="53">
        <v>0</v>
      </c>
      <c r="E239" s="53">
        <v>-372292.88</v>
      </c>
      <c r="F239" s="52">
        <v>-372292.88</v>
      </c>
      <c r="G239" s="53">
        <f t="shared" si="138"/>
        <v>0</v>
      </c>
      <c r="I239" s="2"/>
    </row>
    <row r="240" spans="1:9" s="14" customFormat="1" x14ac:dyDescent="0.25">
      <c r="A240" s="51"/>
      <c r="B240" s="51"/>
      <c r="C240" s="51" t="s">
        <v>81</v>
      </c>
      <c r="D240" s="55">
        <f>SUM(D241:D244)</f>
        <v>-12026877</v>
      </c>
      <c r="E240" s="55">
        <f>SUM(E241:E244)</f>
        <v>-5131811.57</v>
      </c>
      <c r="F240" s="54">
        <f>SUM(F241:F244)</f>
        <v>-3679665.93</v>
      </c>
      <c r="G240" s="55">
        <f>F240-E240</f>
        <v>1452145.6400000001</v>
      </c>
      <c r="H240" s="9"/>
      <c r="I240" s="2"/>
    </row>
    <row r="241" spans="1:9" x14ac:dyDescent="0.25">
      <c r="A241" s="28"/>
      <c r="B241" s="28"/>
      <c r="C241" s="28" t="s">
        <v>89</v>
      </c>
      <c r="D241" s="53">
        <v>-72525</v>
      </c>
      <c r="E241" s="53">
        <f>D241-102693.98</f>
        <v>-175218.97999999998</v>
      </c>
      <c r="F241" s="52">
        <v>-141837.25</v>
      </c>
      <c r="G241" s="53">
        <f t="shared" ref="G241:G244" si="140">F241-E241</f>
        <v>33381.729999999981</v>
      </c>
      <c r="I241" s="2"/>
    </row>
    <row r="242" spans="1:9" x14ac:dyDescent="0.25">
      <c r="A242" s="28"/>
      <c r="B242" s="28"/>
      <c r="C242" s="28" t="s">
        <v>90</v>
      </c>
      <c r="D242" s="53">
        <v>-4213623</v>
      </c>
      <c r="E242" s="53">
        <f>D242+996960.46</f>
        <v>-3216662.54</v>
      </c>
      <c r="F242" s="52">
        <v>-1797898.63</v>
      </c>
      <c r="G242" s="53">
        <f t="shared" si="140"/>
        <v>1418763.9100000001</v>
      </c>
      <c r="I242" s="2"/>
    </row>
    <row r="243" spans="1:9" x14ac:dyDescent="0.25">
      <c r="A243" s="28"/>
      <c r="B243" s="28"/>
      <c r="C243" s="28" t="s">
        <v>111</v>
      </c>
      <c r="D243" s="53">
        <f>-1712229-6028500</f>
        <v>-7740729</v>
      </c>
      <c r="E243" s="53">
        <f>D243+7137011.8</f>
        <v>-603717.20000000019</v>
      </c>
      <c r="F243" s="52">
        <v>-603717.19999999995</v>
      </c>
      <c r="G243" s="53">
        <f t="shared" si="140"/>
        <v>0</v>
      </c>
      <c r="I243" s="2"/>
    </row>
    <row r="244" spans="1:9" x14ac:dyDescent="0.25">
      <c r="A244" s="28"/>
      <c r="B244" s="28"/>
      <c r="C244" s="28" t="s">
        <v>100</v>
      </c>
      <c r="D244" s="53">
        <v>0</v>
      </c>
      <c r="E244" s="53">
        <v>-1136212.8500000001</v>
      </c>
      <c r="F244" s="52">
        <v>-1136212.8500000001</v>
      </c>
      <c r="G244" s="53">
        <f t="shared" si="140"/>
        <v>0</v>
      </c>
      <c r="I244" s="2"/>
    </row>
    <row r="245" spans="1:9" x14ac:dyDescent="0.25">
      <c r="A245" s="51"/>
      <c r="B245" s="51" t="s">
        <v>93</v>
      </c>
      <c r="C245" s="51"/>
      <c r="D245" s="55">
        <f>SUM(D246:D250)</f>
        <v>-137085720</v>
      </c>
      <c r="E245" s="55">
        <f t="shared" ref="E245:F245" si="141">SUM(E246:E250)</f>
        <v>-142462740.17999998</v>
      </c>
      <c r="F245" s="54">
        <f t="shared" si="141"/>
        <v>-136388084.03999999</v>
      </c>
      <c r="G245" s="55">
        <f>F245-E245</f>
        <v>6074656.1399999857</v>
      </c>
      <c r="I245" s="2"/>
    </row>
    <row r="246" spans="1:9" x14ac:dyDescent="0.25">
      <c r="A246" s="28"/>
      <c r="B246" s="28"/>
      <c r="C246" s="28" t="s">
        <v>89</v>
      </c>
      <c r="D246" s="53">
        <f>D252</f>
        <v>-5074590</v>
      </c>
      <c r="E246" s="53">
        <f>E252+E266</f>
        <v>-9020681.5899999999</v>
      </c>
      <c r="F246" s="52">
        <f>F252+F266</f>
        <v>-7231583.8399999999</v>
      </c>
      <c r="G246" s="53">
        <f t="shared" ref="G246:G250" si="142">F246-E246</f>
        <v>1789097.75</v>
      </c>
      <c r="I246" s="2"/>
    </row>
    <row r="247" spans="1:9" x14ac:dyDescent="0.25">
      <c r="A247" s="28"/>
      <c r="B247" s="28"/>
      <c r="C247" s="28" t="s">
        <v>90</v>
      </c>
      <c r="D247" s="53">
        <f>D253+D257</f>
        <v>-3412389</v>
      </c>
      <c r="E247" s="53">
        <f>E253+E257+E267</f>
        <v>-5147957.4800000004</v>
      </c>
      <c r="F247" s="52">
        <f>F253+F257+F267</f>
        <v>-1729632.38</v>
      </c>
      <c r="G247" s="53">
        <f t="shared" si="142"/>
        <v>3418325.1000000006</v>
      </c>
      <c r="I247" s="2"/>
    </row>
    <row r="248" spans="1:9" x14ac:dyDescent="0.25">
      <c r="A248" s="28"/>
      <c r="B248" s="28"/>
      <c r="C248" s="28" t="s">
        <v>94</v>
      </c>
      <c r="D248" s="53">
        <f>D254+D258</f>
        <v>-123443303</v>
      </c>
      <c r="E248" s="53">
        <f t="shared" ref="E248:F248" si="143">E254+E258</f>
        <v>-123590616.41</v>
      </c>
      <c r="F248" s="52">
        <f t="shared" si="143"/>
        <v>-122802265.66</v>
      </c>
      <c r="G248" s="53">
        <f t="shared" ref="G248" si="144">F248-E248</f>
        <v>788350.75</v>
      </c>
      <c r="I248" s="2"/>
    </row>
    <row r="249" spans="1:9" x14ac:dyDescent="0.25">
      <c r="A249" s="28"/>
      <c r="B249" s="28"/>
      <c r="C249" s="28" t="s">
        <v>100</v>
      </c>
      <c r="D249" s="53">
        <f>D262+D268</f>
        <v>-5144236</v>
      </c>
      <c r="E249" s="53">
        <f t="shared" ref="E249:F249" si="145">E262+E268</f>
        <v>-4692272.7</v>
      </c>
      <c r="F249" s="52">
        <f t="shared" si="145"/>
        <v>-4613955.62</v>
      </c>
      <c r="G249" s="53">
        <f t="shared" si="142"/>
        <v>78317.080000000075</v>
      </c>
      <c r="I249" s="2"/>
    </row>
    <row r="250" spans="1:9" x14ac:dyDescent="0.25">
      <c r="A250" s="28"/>
      <c r="B250" s="28"/>
      <c r="C250" s="28" t="s">
        <v>91</v>
      </c>
      <c r="D250" s="53">
        <f>D269</f>
        <v>-11202</v>
      </c>
      <c r="E250" s="53">
        <f>E269+E255</f>
        <v>-11212</v>
      </c>
      <c r="F250" s="52">
        <f>F269+F255+F264</f>
        <v>-10646.54</v>
      </c>
      <c r="G250" s="53">
        <f t="shared" si="142"/>
        <v>565.45999999999913</v>
      </c>
      <c r="I250" s="2"/>
    </row>
    <row r="251" spans="1:9" x14ac:dyDescent="0.25">
      <c r="A251" s="51"/>
      <c r="B251" s="51"/>
      <c r="C251" s="51" t="s">
        <v>79</v>
      </c>
      <c r="D251" s="54">
        <f>SUM(D252:D255)</f>
        <v>-65601291</v>
      </c>
      <c r="E251" s="54">
        <f>SUM(E252:E255)</f>
        <v>-70266843.069999993</v>
      </c>
      <c r="F251" s="54">
        <f>SUM(F252:F255)</f>
        <v>-68037245.760000005</v>
      </c>
      <c r="G251" s="54">
        <f>F251-E251</f>
        <v>2229597.3099999875</v>
      </c>
      <c r="I251" s="2"/>
    </row>
    <row r="252" spans="1:9" x14ac:dyDescent="0.25">
      <c r="A252" s="28"/>
      <c r="B252" s="28"/>
      <c r="C252" s="28" t="s">
        <v>89</v>
      </c>
      <c r="D252" s="52">
        <v>-5074590</v>
      </c>
      <c r="E252" s="52">
        <f>D252-3614982.52</f>
        <v>-8689572.5199999996</v>
      </c>
      <c r="F252" s="52">
        <v>-6931382.3700000001</v>
      </c>
      <c r="G252" s="52">
        <f t="shared" ref="G252:G269" si="146">F252-E252</f>
        <v>1758190.1499999994</v>
      </c>
      <c r="I252" s="2"/>
    </row>
    <row r="253" spans="1:9" x14ac:dyDescent="0.25">
      <c r="A253" s="28"/>
      <c r="B253" s="28"/>
      <c r="C253" s="28" t="s">
        <v>90</v>
      </c>
      <c r="D253" s="52">
        <v>-624411</v>
      </c>
      <c r="E253" s="52">
        <f>D253-903246.14</f>
        <v>-1527657.1400000001</v>
      </c>
      <c r="F253" s="52">
        <v>-621360.93999999994</v>
      </c>
      <c r="G253" s="52">
        <f t="shared" si="146"/>
        <v>906296.20000000019</v>
      </c>
      <c r="I253" s="2"/>
    </row>
    <row r="254" spans="1:9" x14ac:dyDescent="0.25">
      <c r="A254" s="28"/>
      <c r="B254" s="28"/>
      <c r="C254" s="28" t="s">
        <v>94</v>
      </c>
      <c r="D254" s="52">
        <v>-59902290</v>
      </c>
      <c r="E254" s="52">
        <f>D254-147313.41</f>
        <v>-60049603.409999996</v>
      </c>
      <c r="F254" s="52">
        <v>-60484492.450000003</v>
      </c>
      <c r="G254" s="52">
        <f t="shared" ref="G254:G255" si="147">F254-E254</f>
        <v>-434889.04000000656</v>
      </c>
      <c r="I254" s="2"/>
    </row>
    <row r="255" spans="1:9" x14ac:dyDescent="0.25">
      <c r="A255" s="28"/>
      <c r="B255" s="28"/>
      <c r="C255" s="28" t="s">
        <v>95</v>
      </c>
      <c r="D255" s="52">
        <v>0</v>
      </c>
      <c r="E255" s="52">
        <v>-10</v>
      </c>
      <c r="F255" s="52">
        <v>-10</v>
      </c>
      <c r="G255" s="52">
        <f t="shared" si="147"/>
        <v>0</v>
      </c>
      <c r="I255" s="2"/>
    </row>
    <row r="256" spans="1:9" s="14" customFormat="1" x14ac:dyDescent="0.25">
      <c r="A256" s="51"/>
      <c r="B256" s="51"/>
      <c r="C256" s="51" t="s">
        <v>80</v>
      </c>
      <c r="D256" s="54">
        <f>SUM(D257:D258)+D262+D264</f>
        <v>-66413991</v>
      </c>
      <c r="E256" s="54">
        <f>SUM(E257:E258)+E262+E264</f>
        <v>-66413991</v>
      </c>
      <c r="F256" s="54">
        <f>SUM(F257:F258)+F262+F264</f>
        <v>-63520858.289999999</v>
      </c>
      <c r="G256" s="54">
        <f>F256-E256</f>
        <v>2893132.7100000009</v>
      </c>
      <c r="H256" s="9"/>
      <c r="I256" s="2"/>
    </row>
    <row r="257" spans="1:9" x14ac:dyDescent="0.25">
      <c r="A257" s="28"/>
      <c r="B257" s="28"/>
      <c r="C257" s="28" t="s">
        <v>90</v>
      </c>
      <c r="D257" s="53">
        <v>-2787978</v>
      </c>
      <c r="E257" s="53">
        <f t="shared" ref="E257" si="148">D257</f>
        <v>-2787978</v>
      </c>
      <c r="F257" s="52">
        <v>-798251.51</v>
      </c>
      <c r="G257" s="53">
        <f t="shared" ref="G257:G264" si="149">F257-E257</f>
        <v>1989726.49</v>
      </c>
      <c r="I257" s="2"/>
    </row>
    <row r="258" spans="1:9" x14ac:dyDescent="0.25">
      <c r="A258" s="28"/>
      <c r="B258" s="28"/>
      <c r="C258" s="28" t="s">
        <v>94</v>
      </c>
      <c r="D258" s="53">
        <f>SUM(D259:D261)</f>
        <v>-63541013</v>
      </c>
      <c r="E258" s="53">
        <f t="shared" ref="E258:F258" si="150">SUM(E259:E261)</f>
        <v>-63541013</v>
      </c>
      <c r="F258" s="52">
        <f t="shared" si="150"/>
        <v>-62317773.210000001</v>
      </c>
      <c r="G258" s="53">
        <f t="shared" si="149"/>
        <v>1223239.7899999991</v>
      </c>
      <c r="I258" s="2"/>
    </row>
    <row r="259" spans="1:9" s="24" customFormat="1" x14ac:dyDescent="0.25">
      <c r="A259" s="57"/>
      <c r="B259" s="57"/>
      <c r="C259" s="57" t="s">
        <v>113</v>
      </c>
      <c r="D259" s="58">
        <v>-44796000</v>
      </c>
      <c r="E259" s="58">
        <f t="shared" ref="E259:E261" si="151">D259</f>
        <v>-44796000</v>
      </c>
      <c r="F259" s="62">
        <v>-38743209.93</v>
      </c>
      <c r="G259" s="58">
        <f t="shared" ref="G259:G261" si="152">F259-E259</f>
        <v>6052790.0700000003</v>
      </c>
      <c r="H259" s="25"/>
      <c r="I259" s="2"/>
    </row>
    <row r="260" spans="1:9" s="24" customFormat="1" x14ac:dyDescent="0.25">
      <c r="A260" s="57"/>
      <c r="B260" s="57"/>
      <c r="C260" s="57" t="s">
        <v>108</v>
      </c>
      <c r="D260" s="58">
        <v>-74355</v>
      </c>
      <c r="E260" s="58">
        <f t="shared" si="151"/>
        <v>-74355</v>
      </c>
      <c r="F260" s="62">
        <v>-55934.21</v>
      </c>
      <c r="G260" s="58">
        <f t="shared" si="152"/>
        <v>18420.79</v>
      </c>
      <c r="H260" s="25"/>
      <c r="I260" s="2"/>
    </row>
    <row r="261" spans="1:9" s="24" customFormat="1" x14ac:dyDescent="0.25">
      <c r="A261" s="57"/>
      <c r="B261" s="57"/>
      <c r="C261" s="57" t="s">
        <v>114</v>
      </c>
      <c r="D261" s="58">
        <v>-18670658</v>
      </c>
      <c r="E261" s="58">
        <f t="shared" si="151"/>
        <v>-18670658</v>
      </c>
      <c r="F261" s="62">
        <v>-23518629.07</v>
      </c>
      <c r="G261" s="58">
        <f t="shared" si="152"/>
        <v>-4847971.07</v>
      </c>
      <c r="H261" s="25"/>
      <c r="I261" s="2"/>
    </row>
    <row r="262" spans="1:9" x14ac:dyDescent="0.25">
      <c r="A262" s="28"/>
      <c r="B262" s="28"/>
      <c r="C262" s="28" t="s">
        <v>100</v>
      </c>
      <c r="D262" s="53">
        <f>D263</f>
        <v>-85000</v>
      </c>
      <c r="E262" s="53">
        <f t="shared" ref="E262:F262" si="153">E263</f>
        <v>-85000</v>
      </c>
      <c r="F262" s="52">
        <f t="shared" si="153"/>
        <v>-398525.74</v>
      </c>
      <c r="G262" s="53">
        <f t="shared" si="149"/>
        <v>-313525.74</v>
      </c>
      <c r="I262" s="2"/>
    </row>
    <row r="263" spans="1:9" s="24" customFormat="1" x14ac:dyDescent="0.25">
      <c r="A263" s="57"/>
      <c r="B263" s="57"/>
      <c r="C263" s="57" t="s">
        <v>108</v>
      </c>
      <c r="D263" s="58">
        <v>-85000</v>
      </c>
      <c r="E263" s="58">
        <f t="shared" ref="E263:E264" si="154">D263</f>
        <v>-85000</v>
      </c>
      <c r="F263" s="62">
        <v>-398525.74</v>
      </c>
      <c r="G263" s="58">
        <f t="shared" si="149"/>
        <v>-313525.74</v>
      </c>
      <c r="H263" s="25"/>
      <c r="I263" s="2"/>
    </row>
    <row r="264" spans="1:9" s="24" customFormat="1" x14ac:dyDescent="0.25">
      <c r="A264" s="57"/>
      <c r="B264" s="57"/>
      <c r="C264" s="57" t="s">
        <v>95</v>
      </c>
      <c r="D264" s="58">
        <v>0</v>
      </c>
      <c r="E264" s="58">
        <f t="shared" si="154"/>
        <v>0</v>
      </c>
      <c r="F264" s="62">
        <v>-6307.83</v>
      </c>
      <c r="G264" s="58">
        <f t="shared" si="149"/>
        <v>-6307.83</v>
      </c>
      <c r="H264" s="25"/>
      <c r="I264" s="2"/>
    </row>
    <row r="265" spans="1:9" s="14" customFormat="1" x14ac:dyDescent="0.25">
      <c r="A265" s="51"/>
      <c r="B265" s="51"/>
      <c r="C265" s="51" t="s">
        <v>81</v>
      </c>
      <c r="D265" s="54">
        <f>SUM(D266:D268)</f>
        <v>-5059236</v>
      </c>
      <c r="E265" s="54">
        <f>SUM(E266:E268)</f>
        <v>-5770704.1100000003</v>
      </c>
      <c r="F265" s="54">
        <f>SUM(F266:F268)</f>
        <v>-4825651.2799999993</v>
      </c>
      <c r="G265" s="52">
        <f t="shared" si="146"/>
        <v>945052.83000000101</v>
      </c>
      <c r="H265" s="9"/>
      <c r="I265" s="2"/>
    </row>
    <row r="266" spans="1:9" s="14" customFormat="1" x14ac:dyDescent="0.25">
      <c r="A266" s="51"/>
      <c r="B266" s="51"/>
      <c r="C266" s="28" t="s">
        <v>89</v>
      </c>
      <c r="D266" s="52">
        <v>0</v>
      </c>
      <c r="E266" s="52">
        <v>-331109.07</v>
      </c>
      <c r="F266" s="52">
        <v>-300201.46999999997</v>
      </c>
      <c r="G266" s="52">
        <f t="shared" si="146"/>
        <v>30907.600000000035</v>
      </c>
      <c r="H266" s="9"/>
      <c r="I266" s="2"/>
    </row>
    <row r="267" spans="1:9" s="14" customFormat="1" x14ac:dyDescent="0.25">
      <c r="A267" s="51"/>
      <c r="B267" s="51"/>
      <c r="C267" s="28" t="s">
        <v>90</v>
      </c>
      <c r="D267" s="54">
        <v>0</v>
      </c>
      <c r="E267" s="52">
        <v>-832322.34</v>
      </c>
      <c r="F267" s="52">
        <v>-310019.93</v>
      </c>
      <c r="G267" s="52">
        <f t="shared" si="146"/>
        <v>522302.41</v>
      </c>
      <c r="H267" s="9"/>
      <c r="I267" s="2"/>
    </row>
    <row r="268" spans="1:9" x14ac:dyDescent="0.25">
      <c r="A268" s="28"/>
      <c r="B268" s="28"/>
      <c r="C268" s="28" t="s">
        <v>100</v>
      </c>
      <c r="D268" s="52">
        <v>-5059236</v>
      </c>
      <c r="E268" s="52">
        <f>D268+451963.3</f>
        <v>-4607272.7</v>
      </c>
      <c r="F268" s="52">
        <v>-4215429.88</v>
      </c>
      <c r="G268" s="52">
        <f t="shared" si="146"/>
        <v>391842.8200000003</v>
      </c>
      <c r="I268" s="2"/>
    </row>
    <row r="269" spans="1:9" s="14" customFormat="1" x14ac:dyDescent="0.25">
      <c r="A269" s="51"/>
      <c r="B269" s="51"/>
      <c r="C269" s="51" t="s">
        <v>85</v>
      </c>
      <c r="D269" s="54">
        <v>-11202</v>
      </c>
      <c r="E269" s="54">
        <f t="shared" ref="E269" si="155">D269</f>
        <v>-11202</v>
      </c>
      <c r="F269" s="54">
        <v>-4328.71</v>
      </c>
      <c r="G269" s="54">
        <f t="shared" si="146"/>
        <v>6873.29</v>
      </c>
      <c r="H269" s="9"/>
      <c r="I269" s="2"/>
    </row>
    <row r="270" spans="1:9" x14ac:dyDescent="0.25">
      <c r="A270" s="51"/>
      <c r="B270" s="51" t="s">
        <v>115</v>
      </c>
      <c r="C270" s="51"/>
      <c r="D270" s="54">
        <f>SUM(D271:D273)</f>
        <v>-543637</v>
      </c>
      <c r="E270" s="54">
        <f>SUM(E271:E273)</f>
        <v>-355718.47000000003</v>
      </c>
      <c r="F270" s="54">
        <f>SUM(F271:F273)</f>
        <v>-266443.12</v>
      </c>
      <c r="G270" s="54">
        <f>F270-E270</f>
        <v>89275.350000000035</v>
      </c>
      <c r="I270" s="2"/>
    </row>
    <row r="271" spans="1:9" x14ac:dyDescent="0.25">
      <c r="A271" s="28"/>
      <c r="B271" s="28"/>
      <c r="C271" s="28" t="s">
        <v>89</v>
      </c>
      <c r="D271" s="52">
        <f t="shared" ref="D271:F272" si="156">D275+D280+D283</f>
        <v>-242609</v>
      </c>
      <c r="E271" s="52">
        <f t="shared" si="156"/>
        <v>-190376.12000000002</v>
      </c>
      <c r="F271" s="52">
        <f t="shared" si="156"/>
        <v>-120567.31999999999</v>
      </c>
      <c r="G271" s="52">
        <f t="shared" ref="G271:G273" si="157">F271-E271</f>
        <v>69808.800000000032</v>
      </c>
      <c r="I271" s="2"/>
    </row>
    <row r="272" spans="1:9" x14ac:dyDescent="0.25">
      <c r="A272" s="28"/>
      <c r="B272" s="28"/>
      <c r="C272" s="28" t="s">
        <v>90</v>
      </c>
      <c r="D272" s="52">
        <f t="shared" si="156"/>
        <v>-300718</v>
      </c>
      <c r="E272" s="52">
        <f t="shared" si="156"/>
        <v>-165032.35</v>
      </c>
      <c r="F272" s="52">
        <f t="shared" si="156"/>
        <v>-145561.20000000001</v>
      </c>
      <c r="G272" s="52">
        <f t="shared" si="157"/>
        <v>19471.149999999994</v>
      </c>
      <c r="I272" s="2"/>
    </row>
    <row r="273" spans="1:9" x14ac:dyDescent="0.25">
      <c r="A273" s="28"/>
      <c r="B273" s="28"/>
      <c r="C273" s="28" t="s">
        <v>91</v>
      </c>
      <c r="D273" s="52">
        <f>D285+D277</f>
        <v>-310</v>
      </c>
      <c r="E273" s="52">
        <f>E285+E277</f>
        <v>-310</v>
      </c>
      <c r="F273" s="52">
        <f>F285+F277</f>
        <v>-314.60000000000002</v>
      </c>
      <c r="G273" s="52">
        <f t="shared" si="157"/>
        <v>-4.6000000000000227</v>
      </c>
      <c r="I273" s="2"/>
    </row>
    <row r="274" spans="1:9" x14ac:dyDescent="0.25">
      <c r="A274" s="51"/>
      <c r="B274" s="51"/>
      <c r="C274" s="51" t="s">
        <v>79</v>
      </c>
      <c r="D274" s="54">
        <f>SUM(D275:D276)</f>
        <v>-141659</v>
      </c>
      <c r="E274" s="54">
        <f>SUM(E275:E276)</f>
        <v>-141659</v>
      </c>
      <c r="F274" s="54">
        <f>SUM(F275:F276)</f>
        <v>-115701</v>
      </c>
      <c r="G274" s="54">
        <f>F274-E274</f>
        <v>25958</v>
      </c>
      <c r="I274" s="2"/>
    </row>
    <row r="275" spans="1:9" x14ac:dyDescent="0.25">
      <c r="A275" s="28"/>
      <c r="B275" s="28"/>
      <c r="C275" s="28" t="s">
        <v>89</v>
      </c>
      <c r="D275" s="52">
        <v>-114795</v>
      </c>
      <c r="E275" s="52">
        <f t="shared" ref="E275:E276" si="158">D275</f>
        <v>-114795</v>
      </c>
      <c r="F275" s="52">
        <v>-89820</v>
      </c>
      <c r="G275" s="52">
        <f t="shared" ref="G275:G278" si="159">F275-E275</f>
        <v>24975</v>
      </c>
      <c r="I275" s="2"/>
    </row>
    <row r="276" spans="1:9" x14ac:dyDescent="0.25">
      <c r="A276" s="28"/>
      <c r="B276" s="28"/>
      <c r="C276" s="28" t="s">
        <v>90</v>
      </c>
      <c r="D276" s="52">
        <v>-26864</v>
      </c>
      <c r="E276" s="52">
        <f t="shared" si="158"/>
        <v>-26864</v>
      </c>
      <c r="F276" s="52">
        <v>-25881</v>
      </c>
      <c r="G276" s="52">
        <f t="shared" si="159"/>
        <v>983</v>
      </c>
      <c r="I276" s="2"/>
    </row>
    <row r="277" spans="1:9" x14ac:dyDescent="0.25">
      <c r="A277" s="28"/>
      <c r="B277" s="28"/>
      <c r="C277" s="51" t="s">
        <v>80</v>
      </c>
      <c r="D277" s="54">
        <f>D278</f>
        <v>0</v>
      </c>
      <c r="E277" s="54">
        <f>E278</f>
        <v>0</v>
      </c>
      <c r="F277" s="54">
        <f>F278</f>
        <v>-4.5999999999999996</v>
      </c>
      <c r="G277" s="54">
        <f t="shared" si="159"/>
        <v>-4.5999999999999996</v>
      </c>
      <c r="I277" s="2"/>
    </row>
    <row r="278" spans="1:9" x14ac:dyDescent="0.25">
      <c r="A278" s="28"/>
      <c r="B278" s="28"/>
      <c r="C278" s="28" t="s">
        <v>95</v>
      </c>
      <c r="D278" s="52">
        <v>0</v>
      </c>
      <c r="E278" s="52">
        <v>0</v>
      </c>
      <c r="F278" s="52">
        <v>-4.5999999999999996</v>
      </c>
      <c r="G278" s="52">
        <f t="shared" si="159"/>
        <v>-4.5999999999999996</v>
      </c>
      <c r="I278" s="2"/>
    </row>
    <row r="279" spans="1:9" s="14" customFormat="1" x14ac:dyDescent="0.25">
      <c r="A279" s="51"/>
      <c r="B279" s="51"/>
      <c r="C279" s="51" t="s">
        <v>81</v>
      </c>
      <c r="D279" s="54">
        <f>SUM(D280:D281)</f>
        <v>-401668</v>
      </c>
      <c r="E279" s="54">
        <f t="shared" ref="E279" si="160">SUM(E280:E281)</f>
        <v>-207909.74000000002</v>
      </c>
      <c r="F279" s="54">
        <f t="shared" ref="F279" si="161">SUM(F280:F281)</f>
        <v>-149111.67999999999</v>
      </c>
      <c r="G279" s="54">
        <f>F279-E279</f>
        <v>58798.060000000027</v>
      </c>
      <c r="H279" s="9"/>
      <c r="I279" s="2"/>
    </row>
    <row r="280" spans="1:9" x14ac:dyDescent="0.25">
      <c r="A280" s="28"/>
      <c r="B280" s="28"/>
      <c r="C280" s="28" t="s">
        <v>89</v>
      </c>
      <c r="D280" s="52">
        <v>-127814</v>
      </c>
      <c r="E280" s="52">
        <f>D280+54550.02</f>
        <v>-73263.98000000001</v>
      </c>
      <c r="F280" s="52">
        <v>-30257.46</v>
      </c>
      <c r="G280" s="52">
        <f t="shared" ref="G280:G281" si="162">F280-E280</f>
        <v>43006.520000000011</v>
      </c>
      <c r="I280" s="2"/>
    </row>
    <row r="281" spans="1:9" x14ac:dyDescent="0.25">
      <c r="A281" s="28"/>
      <c r="B281" s="28"/>
      <c r="C281" s="28" t="s">
        <v>90</v>
      </c>
      <c r="D281" s="52">
        <v>-273854</v>
      </c>
      <c r="E281" s="52">
        <f>D281+139208.24</f>
        <v>-134645.76000000001</v>
      </c>
      <c r="F281" s="52">
        <v>-118854.22</v>
      </c>
      <c r="G281" s="52">
        <f t="shared" si="162"/>
        <v>15791.540000000008</v>
      </c>
      <c r="I281" s="2"/>
    </row>
    <row r="282" spans="1:9" s="14" customFormat="1" x14ac:dyDescent="0.25">
      <c r="A282" s="51"/>
      <c r="B282" s="51"/>
      <c r="C282" s="59" t="s">
        <v>82</v>
      </c>
      <c r="D282" s="54">
        <f>SUM(D283:D284)</f>
        <v>0</v>
      </c>
      <c r="E282" s="54">
        <f>SUM(E283:E284)</f>
        <v>-5839.73</v>
      </c>
      <c r="F282" s="54">
        <f>SUM(F283:F284)</f>
        <v>-1315.8400000000001</v>
      </c>
      <c r="G282" s="54">
        <f t="shared" ref="G282:G285" si="163">F282-E282</f>
        <v>4523.8899999999994</v>
      </c>
      <c r="H282" s="9"/>
      <c r="I282" s="2"/>
    </row>
    <row r="283" spans="1:9" s="14" customFormat="1" x14ac:dyDescent="0.25">
      <c r="A283" s="51"/>
      <c r="B283" s="51"/>
      <c r="C283" s="56" t="s">
        <v>89</v>
      </c>
      <c r="D283" s="52">
        <v>0</v>
      </c>
      <c r="E283" s="52">
        <v>-2317.14</v>
      </c>
      <c r="F283" s="52">
        <v>-489.86</v>
      </c>
      <c r="G283" s="52">
        <f t="shared" si="163"/>
        <v>1827.2799999999997</v>
      </c>
      <c r="H283" s="9"/>
      <c r="I283" s="2"/>
    </row>
    <row r="284" spans="1:9" s="14" customFormat="1" x14ac:dyDescent="0.25">
      <c r="A284" s="51"/>
      <c r="B284" s="51"/>
      <c r="C284" s="56" t="s">
        <v>90</v>
      </c>
      <c r="D284" s="52">
        <v>0</v>
      </c>
      <c r="E284" s="52">
        <v>-3522.59</v>
      </c>
      <c r="F284" s="52">
        <v>-825.98</v>
      </c>
      <c r="G284" s="52">
        <f t="shared" si="163"/>
        <v>2696.61</v>
      </c>
      <c r="H284" s="9"/>
      <c r="I284" s="2"/>
    </row>
    <row r="285" spans="1:9" s="14" customFormat="1" x14ac:dyDescent="0.25">
      <c r="A285" s="51"/>
      <c r="B285" s="51"/>
      <c r="C285" s="59" t="s">
        <v>85</v>
      </c>
      <c r="D285" s="52">
        <v>-310</v>
      </c>
      <c r="E285" s="52">
        <v>-310</v>
      </c>
      <c r="F285" s="52">
        <v>-310</v>
      </c>
      <c r="G285" s="52">
        <f t="shared" si="163"/>
        <v>0</v>
      </c>
      <c r="H285" s="9"/>
      <c r="I285" s="2"/>
    </row>
    <row r="286" spans="1:9" x14ac:dyDescent="0.25">
      <c r="A286" s="51"/>
      <c r="B286" s="51" t="s">
        <v>88</v>
      </c>
      <c r="C286" s="59"/>
      <c r="D286" s="54">
        <f>SUM(D287:D289)</f>
        <v>-2483315</v>
      </c>
      <c r="E286" s="54">
        <f>SUM(E287:E289)</f>
        <v>-2894016.42</v>
      </c>
      <c r="F286" s="54">
        <f>SUM(F287:F289)</f>
        <v>-2671698.9500000002</v>
      </c>
      <c r="G286" s="54">
        <f>F286-E286</f>
        <v>222317.46999999974</v>
      </c>
      <c r="I286" s="2"/>
    </row>
    <row r="287" spans="1:9" x14ac:dyDescent="0.25">
      <c r="A287" s="28"/>
      <c r="B287" s="28"/>
      <c r="C287" s="56" t="s">
        <v>89</v>
      </c>
      <c r="D287" s="52">
        <f>D291+D298+D296</f>
        <v>-689472</v>
      </c>
      <c r="E287" s="52">
        <f>E291+E298+E296</f>
        <v>-862753.42</v>
      </c>
      <c r="F287" s="52">
        <f>F291+F298+F296</f>
        <v>-743621.78</v>
      </c>
      <c r="G287" s="52">
        <f t="shared" ref="G287:G289" si="164">F287-E287</f>
        <v>119131.64000000001</v>
      </c>
      <c r="I287" s="2"/>
    </row>
    <row r="288" spans="1:9" x14ac:dyDescent="0.25">
      <c r="A288" s="28"/>
      <c r="B288" s="28"/>
      <c r="C288" s="56" t="s">
        <v>90</v>
      </c>
      <c r="D288" s="52">
        <f>D292</f>
        <v>-935874</v>
      </c>
      <c r="E288" s="52">
        <f t="shared" ref="E288:F288" si="165">E292</f>
        <v>-1173294</v>
      </c>
      <c r="F288" s="52">
        <f t="shared" si="165"/>
        <v>-994960.51</v>
      </c>
      <c r="G288" s="52">
        <f t="shared" si="164"/>
        <v>178333.49</v>
      </c>
      <c r="I288" s="2"/>
    </row>
    <row r="289" spans="1:11" x14ac:dyDescent="0.25">
      <c r="A289" s="28"/>
      <c r="B289" s="28"/>
      <c r="C289" s="56" t="s">
        <v>91</v>
      </c>
      <c r="D289" s="52">
        <f>D299+D293</f>
        <v>-857969</v>
      </c>
      <c r="E289" s="52">
        <f>E299+E293</f>
        <v>-857969</v>
      </c>
      <c r="F289" s="52">
        <f>F299+F293</f>
        <v>-933116.65999999992</v>
      </c>
      <c r="G289" s="52">
        <f t="shared" si="164"/>
        <v>-75147.659999999916</v>
      </c>
      <c r="I289" s="2"/>
    </row>
    <row r="290" spans="1:11" x14ac:dyDescent="0.25">
      <c r="A290" s="51"/>
      <c r="B290" s="51"/>
      <c r="C290" s="59" t="s">
        <v>79</v>
      </c>
      <c r="D290" s="54">
        <f>SUM(D291:D292)</f>
        <v>-1625120</v>
      </c>
      <c r="E290" s="54">
        <f>SUM(E291:E292)</f>
        <v>-1995967.65</v>
      </c>
      <c r="F290" s="54">
        <f>SUM(F291:F292)</f>
        <v>-1698502.52</v>
      </c>
      <c r="G290" s="54">
        <f>F290-E290</f>
        <v>297465.12999999989</v>
      </c>
      <c r="I290" s="2"/>
    </row>
    <row r="291" spans="1:11" x14ac:dyDescent="0.25">
      <c r="A291" s="28"/>
      <c r="B291" s="28"/>
      <c r="C291" s="28" t="s">
        <v>89</v>
      </c>
      <c r="D291" s="53">
        <v>-689246</v>
      </c>
      <c r="E291" s="53">
        <f>D291-133427.65</f>
        <v>-822673.65</v>
      </c>
      <c r="F291" s="52">
        <v>-703542.01</v>
      </c>
      <c r="G291" s="53">
        <f t="shared" ref="G291:G296" si="166">F291-E291</f>
        <v>119131.64000000001</v>
      </c>
      <c r="I291" s="2"/>
    </row>
    <row r="292" spans="1:11" x14ac:dyDescent="0.25">
      <c r="A292" s="28"/>
      <c r="B292" s="28"/>
      <c r="C292" s="28" t="s">
        <v>90</v>
      </c>
      <c r="D292" s="53">
        <v>-935874</v>
      </c>
      <c r="E292" s="53">
        <f>D292-237420</f>
        <v>-1173294</v>
      </c>
      <c r="F292" s="52">
        <v>-994960.51</v>
      </c>
      <c r="G292" s="53">
        <f t="shared" si="166"/>
        <v>178333.49</v>
      </c>
      <c r="I292" s="2"/>
    </row>
    <row r="293" spans="1:11" x14ac:dyDescent="0.25">
      <c r="A293" s="28"/>
      <c r="B293" s="28"/>
      <c r="C293" s="51" t="s">
        <v>80</v>
      </c>
      <c r="D293" s="53">
        <f>D294</f>
        <v>0</v>
      </c>
      <c r="E293" s="53">
        <f>E294</f>
        <v>0</v>
      </c>
      <c r="F293" s="52">
        <f>F294</f>
        <v>-20.7</v>
      </c>
      <c r="G293" s="53">
        <f t="shared" si="166"/>
        <v>-20.7</v>
      </c>
      <c r="I293" s="2"/>
    </row>
    <row r="294" spans="1:11" x14ac:dyDescent="0.25">
      <c r="A294" s="28"/>
      <c r="B294" s="28"/>
      <c r="C294" s="28" t="s">
        <v>95</v>
      </c>
      <c r="D294" s="53">
        <v>0</v>
      </c>
      <c r="E294" s="53">
        <v>0</v>
      </c>
      <c r="F294" s="52">
        <v>-20.7</v>
      </c>
      <c r="G294" s="53">
        <f t="shared" si="166"/>
        <v>-20.7</v>
      </c>
      <c r="I294" s="2"/>
    </row>
    <row r="295" spans="1:11" x14ac:dyDescent="0.25">
      <c r="A295" s="28"/>
      <c r="B295" s="28"/>
      <c r="C295" s="59" t="s">
        <v>81</v>
      </c>
      <c r="D295" s="52">
        <f>D296</f>
        <v>0</v>
      </c>
      <c r="E295" s="52">
        <f>E296</f>
        <v>-40079.769999999997</v>
      </c>
      <c r="F295" s="52">
        <f>F296</f>
        <v>-40079.769999999997</v>
      </c>
      <c r="G295" s="52">
        <f t="shared" si="166"/>
        <v>0</v>
      </c>
      <c r="I295" s="2"/>
    </row>
    <row r="296" spans="1:11" x14ac:dyDescent="0.25">
      <c r="A296" s="28"/>
      <c r="B296" s="28"/>
      <c r="C296" s="56" t="s">
        <v>89</v>
      </c>
      <c r="D296" s="52">
        <v>0</v>
      </c>
      <c r="E296" s="52">
        <v>-40079.769999999997</v>
      </c>
      <c r="F296" s="52">
        <v>-40079.769999999997</v>
      </c>
      <c r="G296" s="52">
        <f t="shared" si="166"/>
        <v>0</v>
      </c>
      <c r="I296" s="2"/>
    </row>
    <row r="297" spans="1:11" s="14" customFormat="1" x14ac:dyDescent="0.25">
      <c r="A297" s="51"/>
      <c r="B297" s="51"/>
      <c r="C297" s="59" t="s">
        <v>82</v>
      </c>
      <c r="D297" s="54">
        <f>SUM(D298:D298)</f>
        <v>-226</v>
      </c>
      <c r="E297" s="54">
        <f>E298</f>
        <v>0</v>
      </c>
      <c r="F297" s="54">
        <f>SUM(F298:F298)</f>
        <v>0</v>
      </c>
      <c r="G297" s="54">
        <f>F297-E297</f>
        <v>0</v>
      </c>
      <c r="H297" s="9"/>
      <c r="I297" s="2"/>
      <c r="K297"/>
    </row>
    <row r="298" spans="1:11" x14ac:dyDescent="0.25">
      <c r="A298" s="28"/>
      <c r="B298" s="28"/>
      <c r="C298" s="56" t="s">
        <v>89</v>
      </c>
      <c r="D298" s="52">
        <v>-226</v>
      </c>
      <c r="E298" s="52">
        <v>0</v>
      </c>
      <c r="F298" s="52">
        <v>0</v>
      </c>
      <c r="G298" s="52">
        <f t="shared" ref="G298:G311" si="167">F298-E298</f>
        <v>0</v>
      </c>
      <c r="I298" s="2"/>
    </row>
    <row r="299" spans="1:11" s="14" customFormat="1" x14ac:dyDescent="0.25">
      <c r="A299" s="51"/>
      <c r="B299" s="51"/>
      <c r="C299" s="59" t="s">
        <v>85</v>
      </c>
      <c r="D299" s="54">
        <v>-857969</v>
      </c>
      <c r="E299" s="54">
        <f t="shared" ref="E299" si="168">D299</f>
        <v>-857969</v>
      </c>
      <c r="F299" s="54">
        <v>-933095.96</v>
      </c>
      <c r="G299" s="54">
        <f t="shared" si="167"/>
        <v>-75126.959999999963</v>
      </c>
      <c r="H299" s="9"/>
      <c r="I299" s="2"/>
    </row>
    <row r="300" spans="1:11" s="14" customFormat="1" ht="15.75" x14ac:dyDescent="0.25">
      <c r="A300" s="41" t="s">
        <v>28</v>
      </c>
      <c r="B300" s="51"/>
      <c r="C300" s="59"/>
      <c r="D300" s="54">
        <f>SUM(D301:D305)</f>
        <v>-993825277</v>
      </c>
      <c r="E300" s="54">
        <f>SUM(E301:E305)</f>
        <v>-995472345.74000001</v>
      </c>
      <c r="F300" s="54">
        <f>SUM(F301:F305)</f>
        <v>-929488165.44000006</v>
      </c>
      <c r="G300" s="54">
        <f t="shared" si="167"/>
        <v>65984180.299999952</v>
      </c>
      <c r="H300" s="9"/>
      <c r="I300" s="2"/>
    </row>
    <row r="301" spans="1:11" ht="15.75" x14ac:dyDescent="0.25">
      <c r="A301" s="34"/>
      <c r="B301" s="28" t="s">
        <v>79</v>
      </c>
      <c r="C301" s="56"/>
      <c r="D301" s="52">
        <f>D307+D349+D396+D430+D471</f>
        <v>-44080368</v>
      </c>
      <c r="E301" s="52">
        <f t="shared" ref="E301:F301" si="169">E307+E349+E396+E430+E471</f>
        <v>-46512753.099999994</v>
      </c>
      <c r="F301" s="52">
        <f t="shared" si="169"/>
        <v>-40926959.259999998</v>
      </c>
      <c r="G301" s="52">
        <f t="shared" si="167"/>
        <v>5585793.8399999961</v>
      </c>
      <c r="I301" s="2"/>
    </row>
    <row r="302" spans="1:11" ht="15.75" x14ac:dyDescent="0.25">
      <c r="A302" s="34"/>
      <c r="B302" s="28" t="s">
        <v>80</v>
      </c>
      <c r="C302" s="56"/>
      <c r="D302" s="52">
        <f>D308+D350+D472</f>
        <v>-935710116</v>
      </c>
      <c r="E302" s="52">
        <f t="shared" ref="E302" si="170">E308+E350+E472</f>
        <v>-935710116</v>
      </c>
      <c r="F302" s="52">
        <f>F308+F350+F472+F397+F431</f>
        <v>-880014785.68000007</v>
      </c>
      <c r="G302" s="52">
        <f t="shared" si="167"/>
        <v>55695330.319999933</v>
      </c>
      <c r="I302" s="2"/>
    </row>
    <row r="303" spans="1:11" ht="15.75" x14ac:dyDescent="0.25">
      <c r="A303" s="34"/>
      <c r="B303" s="28" t="s">
        <v>81</v>
      </c>
      <c r="C303" s="56"/>
      <c r="D303" s="52">
        <f>D351+D398+D432+D473</f>
        <v>-11795817</v>
      </c>
      <c r="E303" s="52">
        <f>E351+E398+E432+E473+E343</f>
        <v>-10976000.930000002</v>
      </c>
      <c r="F303" s="52">
        <f>F351+F398+F432+F473+F343</f>
        <v>-5742494.7600000007</v>
      </c>
      <c r="G303" s="52">
        <f t="shared" si="167"/>
        <v>5233506.1700000009</v>
      </c>
      <c r="I303" s="2"/>
    </row>
    <row r="304" spans="1:11" x14ac:dyDescent="0.25">
      <c r="A304" s="28"/>
      <c r="B304" s="28" t="s">
        <v>82</v>
      </c>
      <c r="C304" s="56"/>
      <c r="D304" s="52">
        <f>D310+D433+D474</f>
        <v>-39964</v>
      </c>
      <c r="E304" s="52">
        <f t="shared" ref="E304:F304" si="171">E310+E433+E474</f>
        <v>-74463.710000000006</v>
      </c>
      <c r="F304" s="52">
        <f t="shared" si="171"/>
        <v>-67921.200000000012</v>
      </c>
      <c r="G304" s="52">
        <f t="shared" si="167"/>
        <v>6542.5099999999948</v>
      </c>
      <c r="I304" s="2"/>
    </row>
    <row r="305" spans="1:9" x14ac:dyDescent="0.25">
      <c r="A305" s="28"/>
      <c r="B305" s="28" t="s">
        <v>85</v>
      </c>
      <c r="C305" s="56"/>
      <c r="D305" s="52">
        <f>D311+D352+D399+D434+D475</f>
        <v>-2199012</v>
      </c>
      <c r="E305" s="52">
        <f t="shared" ref="E305:F305" si="172">E311+E352+E399+E434+E475</f>
        <v>-2199012</v>
      </c>
      <c r="F305" s="52">
        <f t="shared" si="172"/>
        <v>-2736004.54</v>
      </c>
      <c r="G305" s="52">
        <f t="shared" si="167"/>
        <v>-536992.54</v>
      </c>
      <c r="I305" s="2"/>
    </row>
    <row r="306" spans="1:9" s="14" customFormat="1" ht="15.75" x14ac:dyDescent="0.25">
      <c r="A306" s="39" t="s">
        <v>116</v>
      </c>
      <c r="B306" s="51"/>
      <c r="C306" s="59"/>
      <c r="D306" s="54">
        <f>SUM(D307:D311)</f>
        <v>-936245779</v>
      </c>
      <c r="E306" s="54">
        <f>SUM(E307:E311)</f>
        <v>-937329431.57999992</v>
      </c>
      <c r="F306" s="54">
        <f>SUM(F307:F311)</f>
        <v>-881254307.17000008</v>
      </c>
      <c r="G306" s="54">
        <f t="shared" si="167"/>
        <v>56075124.409999847</v>
      </c>
      <c r="H306" s="9"/>
      <c r="I306" s="2"/>
    </row>
    <row r="307" spans="1:9" x14ac:dyDescent="0.25">
      <c r="A307" s="28"/>
      <c r="B307" s="28" t="s">
        <v>79</v>
      </c>
      <c r="C307" s="56"/>
      <c r="D307" s="52">
        <f>D317+D338</f>
        <v>-3939347</v>
      </c>
      <c r="E307" s="52">
        <f t="shared" ref="E307:F307" si="173">E317+E338</f>
        <v>-5023877.92</v>
      </c>
      <c r="F307" s="52">
        <f t="shared" si="173"/>
        <v>-4428239.7699999996</v>
      </c>
      <c r="G307" s="52">
        <f t="shared" si="167"/>
        <v>595638.15000000037</v>
      </c>
      <c r="I307" s="2"/>
    </row>
    <row r="308" spans="1:9" x14ac:dyDescent="0.25">
      <c r="A308" s="28"/>
      <c r="B308" s="28" t="s">
        <v>80</v>
      </c>
      <c r="C308" s="56"/>
      <c r="D308" s="52">
        <f>D322+D341</f>
        <v>-931829032</v>
      </c>
      <c r="E308" s="52">
        <f>E322+E341</f>
        <v>-931829032</v>
      </c>
      <c r="F308" s="52">
        <f>F322+F341</f>
        <v>-876300511.03000009</v>
      </c>
      <c r="G308" s="52">
        <f t="shared" ref="G308:G309" si="174">F308-E308</f>
        <v>55528520.969999909</v>
      </c>
      <c r="I308" s="2"/>
    </row>
    <row r="309" spans="1:9" x14ac:dyDescent="0.25">
      <c r="A309" s="28"/>
      <c r="B309" s="28" t="s">
        <v>81</v>
      </c>
      <c r="C309" s="56"/>
      <c r="D309" s="52">
        <f>D343</f>
        <v>0</v>
      </c>
      <c r="E309" s="52">
        <f>E343</f>
        <v>-21003.64</v>
      </c>
      <c r="F309" s="52">
        <f>F343</f>
        <v>-21003.68</v>
      </c>
      <c r="G309" s="52">
        <f t="shared" si="174"/>
        <v>-4.0000000000873115E-2</v>
      </c>
      <c r="I309" s="2"/>
    </row>
    <row r="310" spans="1:9" x14ac:dyDescent="0.25">
      <c r="A310" s="28"/>
      <c r="B310" s="28" t="s">
        <v>82</v>
      </c>
      <c r="C310" s="56"/>
      <c r="D310" s="52">
        <f>D345</f>
        <v>-21882</v>
      </c>
      <c r="E310" s="52">
        <f t="shared" ref="E310:F310" si="175">E345</f>
        <v>-2.0000000000436557E-2</v>
      </c>
      <c r="F310" s="52">
        <f t="shared" si="175"/>
        <v>0</v>
      </c>
      <c r="G310" s="52">
        <f t="shared" si="167"/>
        <v>2.0000000000436557E-2</v>
      </c>
      <c r="I310" s="2"/>
    </row>
    <row r="311" spans="1:9" x14ac:dyDescent="0.25">
      <c r="A311" s="28"/>
      <c r="B311" s="28" t="s">
        <v>85</v>
      </c>
      <c r="C311" s="56"/>
      <c r="D311" s="52">
        <f>D333+D347</f>
        <v>-455518</v>
      </c>
      <c r="E311" s="52">
        <f t="shared" ref="E311:F311" si="176">E333+E347</f>
        <v>-455518</v>
      </c>
      <c r="F311" s="52">
        <f t="shared" si="176"/>
        <v>-504552.69</v>
      </c>
      <c r="G311" s="52">
        <f t="shared" si="167"/>
        <v>-49034.69</v>
      </c>
      <c r="I311" s="2"/>
    </row>
    <row r="312" spans="1:9" x14ac:dyDescent="0.25">
      <c r="A312" s="51"/>
      <c r="B312" s="51" t="s">
        <v>93</v>
      </c>
      <c r="C312" s="51"/>
      <c r="D312" s="55">
        <f>SUM(D313:D316)</f>
        <v>-934927067</v>
      </c>
      <c r="E312" s="55">
        <f>SUM(E313:E316)</f>
        <v>-935728874.71000004</v>
      </c>
      <c r="F312" s="54">
        <f>SUM(F313:F316)</f>
        <v>-879700912.87000012</v>
      </c>
      <c r="G312" s="55">
        <f>F312-E312</f>
        <v>56027961.839999914</v>
      </c>
      <c r="I312" s="2"/>
    </row>
    <row r="313" spans="1:9" x14ac:dyDescent="0.25">
      <c r="A313" s="28"/>
      <c r="B313" s="28"/>
      <c r="C313" s="28" t="s">
        <v>89</v>
      </c>
      <c r="D313" s="53">
        <f>D318</f>
        <v>-2798296</v>
      </c>
      <c r="E313" s="53">
        <f t="shared" ref="E313:F313" si="177">E318</f>
        <v>-3503849.29</v>
      </c>
      <c r="F313" s="52">
        <f t="shared" si="177"/>
        <v>-3182292</v>
      </c>
      <c r="G313" s="53">
        <f t="shared" ref="G313:G316" si="178">F313-E313</f>
        <v>321557.29000000004</v>
      </c>
      <c r="I313" s="2"/>
    </row>
    <row r="314" spans="1:9" x14ac:dyDescent="0.25">
      <c r="A314" s="28"/>
      <c r="B314" s="28"/>
      <c r="C314" s="28" t="s">
        <v>90</v>
      </c>
      <c r="D314" s="53">
        <f>D319</f>
        <v>-292607</v>
      </c>
      <c r="E314" s="53">
        <f t="shared" ref="E314:F314" si="179">E319</f>
        <v>-373861.42</v>
      </c>
      <c r="F314" s="52">
        <f t="shared" si="179"/>
        <v>-250347.89</v>
      </c>
      <c r="G314" s="53">
        <f t="shared" si="178"/>
        <v>123513.52999999997</v>
      </c>
      <c r="I314" s="2"/>
    </row>
    <row r="315" spans="1:9" x14ac:dyDescent="0.25">
      <c r="A315" s="28"/>
      <c r="B315" s="28"/>
      <c r="C315" s="28" t="s">
        <v>94</v>
      </c>
      <c r="D315" s="53">
        <f>D323+D320</f>
        <v>-931829032</v>
      </c>
      <c r="E315" s="53">
        <f>E323+E320</f>
        <v>-931829032</v>
      </c>
      <c r="F315" s="52">
        <f>F323+F320</f>
        <v>-876143146.0200001</v>
      </c>
      <c r="G315" s="53">
        <f t="shared" si="178"/>
        <v>55685885.9799999</v>
      </c>
      <c r="I315" s="2"/>
    </row>
    <row r="316" spans="1:9" x14ac:dyDescent="0.25">
      <c r="A316" s="28"/>
      <c r="B316" s="28"/>
      <c r="C316" s="28" t="s">
        <v>91</v>
      </c>
      <c r="D316" s="53">
        <f>D333+D321</f>
        <v>-7132</v>
      </c>
      <c r="E316" s="53">
        <f>E333+E321</f>
        <v>-22132</v>
      </c>
      <c r="F316" s="52">
        <f>F333+F321+F332</f>
        <v>-125126.96</v>
      </c>
      <c r="G316" s="53">
        <f t="shared" si="178"/>
        <v>-102994.96</v>
      </c>
      <c r="I316" s="2"/>
    </row>
    <row r="317" spans="1:9" x14ac:dyDescent="0.25">
      <c r="A317" s="51"/>
      <c r="B317" s="51"/>
      <c r="C317" s="51" t="s">
        <v>79</v>
      </c>
      <c r="D317" s="54">
        <f>SUM(D318:D321)</f>
        <v>-3090903</v>
      </c>
      <c r="E317" s="54">
        <f>SUM(E318:E321)</f>
        <v>-3892710.71</v>
      </c>
      <c r="F317" s="54">
        <f>SUM(F318:F321)</f>
        <v>-3398012.28</v>
      </c>
      <c r="G317" s="54">
        <f>F317-E317</f>
        <v>494698.43000000017</v>
      </c>
      <c r="I317" s="2"/>
    </row>
    <row r="318" spans="1:9" x14ac:dyDescent="0.25">
      <c r="A318" s="28"/>
      <c r="B318" s="28"/>
      <c r="C318" s="28" t="s">
        <v>89</v>
      </c>
      <c r="D318" s="53">
        <v>-2798296</v>
      </c>
      <c r="E318" s="53">
        <f>D318-705553.29</f>
        <v>-3503849.29</v>
      </c>
      <c r="F318" s="52">
        <v>-3182292</v>
      </c>
      <c r="G318" s="53">
        <f t="shared" ref="G318:G333" si="180">F318-E318</f>
        <v>321557.29000000004</v>
      </c>
      <c r="I318" s="2"/>
    </row>
    <row r="319" spans="1:9" x14ac:dyDescent="0.25">
      <c r="A319" s="28"/>
      <c r="B319" s="28"/>
      <c r="C319" s="28" t="s">
        <v>90</v>
      </c>
      <c r="D319" s="53">
        <v>-292607</v>
      </c>
      <c r="E319" s="53">
        <f>D319-81254.42</f>
        <v>-373861.42</v>
      </c>
      <c r="F319" s="52">
        <v>-250347.89</v>
      </c>
      <c r="G319" s="53">
        <f t="shared" si="180"/>
        <v>123513.52999999997</v>
      </c>
      <c r="I319" s="2"/>
    </row>
    <row r="320" spans="1:9" x14ac:dyDescent="0.25">
      <c r="A320" s="28"/>
      <c r="B320" s="28"/>
      <c r="C320" s="28" t="s">
        <v>117</v>
      </c>
      <c r="D320" s="53">
        <v>0</v>
      </c>
      <c r="E320" s="53">
        <v>0</v>
      </c>
      <c r="F320" s="52">
        <v>50248.68</v>
      </c>
      <c r="G320" s="53">
        <f t="shared" si="180"/>
        <v>50248.68</v>
      </c>
      <c r="I320" s="2"/>
    </row>
    <row r="321" spans="1:9" x14ac:dyDescent="0.25">
      <c r="A321" s="28"/>
      <c r="B321" s="28"/>
      <c r="C321" s="28" t="s">
        <v>95</v>
      </c>
      <c r="D321" s="53">
        <v>0</v>
      </c>
      <c r="E321" s="53">
        <v>-15000</v>
      </c>
      <c r="F321" s="52">
        <v>-15621.07</v>
      </c>
      <c r="G321" s="53">
        <f t="shared" si="180"/>
        <v>-621.06999999999971</v>
      </c>
      <c r="I321" s="2"/>
    </row>
    <row r="322" spans="1:9" s="14" customFormat="1" x14ac:dyDescent="0.25">
      <c r="A322" s="51"/>
      <c r="B322" s="51"/>
      <c r="C322" s="51" t="s">
        <v>80</v>
      </c>
      <c r="D322" s="55">
        <f>SUM(D323:D323)+D332</f>
        <v>-931829032</v>
      </c>
      <c r="E322" s="55">
        <f>SUM(E323:E323)+E332</f>
        <v>-931829032</v>
      </c>
      <c r="F322" s="54">
        <f>SUM(F323:F323)+F332</f>
        <v>-876300497.53000009</v>
      </c>
      <c r="G322" s="53">
        <f t="shared" si="180"/>
        <v>55528534.469999909</v>
      </c>
      <c r="H322" s="9"/>
      <c r="I322" s="2"/>
    </row>
    <row r="323" spans="1:9" x14ac:dyDescent="0.25">
      <c r="A323" s="28"/>
      <c r="B323" s="28"/>
      <c r="C323" s="28" t="s">
        <v>94</v>
      </c>
      <c r="D323" s="53">
        <f>SUM(D324:D331)</f>
        <v>-931829032</v>
      </c>
      <c r="E323" s="53">
        <f t="shared" ref="E323:F323" si="181">SUM(E324:E331)</f>
        <v>-931829032</v>
      </c>
      <c r="F323" s="52">
        <f t="shared" si="181"/>
        <v>-876193394.70000005</v>
      </c>
      <c r="G323" s="53">
        <f t="shared" si="180"/>
        <v>55635637.299999952</v>
      </c>
      <c r="I323" s="2"/>
    </row>
    <row r="324" spans="1:9" s="24" customFormat="1" x14ac:dyDescent="0.25">
      <c r="A324" s="57"/>
      <c r="B324" s="57"/>
      <c r="C324" s="57" t="s">
        <v>118</v>
      </c>
      <c r="D324" s="58">
        <v>-367200</v>
      </c>
      <c r="E324" s="58">
        <f t="shared" ref="E324:E331" si="182">D324</f>
        <v>-367200</v>
      </c>
      <c r="F324" s="62">
        <v>-158946.48000000001</v>
      </c>
      <c r="G324" s="58">
        <f t="shared" ref="G324:G332" si="183">F324-E324</f>
        <v>208253.52</v>
      </c>
      <c r="H324" s="25"/>
      <c r="I324" s="2"/>
    </row>
    <row r="325" spans="1:9" s="24" customFormat="1" x14ac:dyDescent="0.25">
      <c r="A325" s="57"/>
      <c r="B325" s="57"/>
      <c r="C325" s="57" t="s">
        <v>119</v>
      </c>
      <c r="D325" s="58">
        <v>-20018000</v>
      </c>
      <c r="E325" s="58">
        <f t="shared" si="182"/>
        <v>-20018000</v>
      </c>
      <c r="F325" s="62">
        <v>-16831703.879999999</v>
      </c>
      <c r="G325" s="58">
        <f t="shared" si="183"/>
        <v>3186296.120000001</v>
      </c>
      <c r="H325" s="25"/>
      <c r="I325" s="2"/>
    </row>
    <row r="326" spans="1:9" s="24" customFormat="1" x14ac:dyDescent="0.25">
      <c r="A326" s="57"/>
      <c r="B326" s="57"/>
      <c r="C326" s="57" t="s">
        <v>120</v>
      </c>
      <c r="D326" s="58">
        <v>-423900000</v>
      </c>
      <c r="E326" s="58">
        <f t="shared" si="182"/>
        <v>-423900000</v>
      </c>
      <c r="F326" s="62">
        <v>-406421183.93000001</v>
      </c>
      <c r="G326" s="58">
        <f t="shared" si="183"/>
        <v>17478816.069999993</v>
      </c>
      <c r="H326" s="25"/>
      <c r="I326" s="2"/>
    </row>
    <row r="327" spans="1:9" s="24" customFormat="1" x14ac:dyDescent="0.25">
      <c r="A327" s="57"/>
      <c r="B327" s="57"/>
      <c r="C327" s="57" t="s">
        <v>113</v>
      </c>
      <c r="D327" s="58">
        <v>-18219000</v>
      </c>
      <c r="E327" s="58">
        <f t="shared" si="182"/>
        <v>-18219000</v>
      </c>
      <c r="F327" s="62">
        <v>-15964657.949999999</v>
      </c>
      <c r="G327" s="58">
        <f t="shared" si="183"/>
        <v>2254342.0500000007</v>
      </c>
      <c r="H327" s="25"/>
      <c r="I327" s="2"/>
    </row>
    <row r="328" spans="1:9" s="24" customFormat="1" x14ac:dyDescent="0.25">
      <c r="A328" s="57"/>
      <c r="B328" s="57"/>
      <c r="C328" s="57" t="s">
        <v>97</v>
      </c>
      <c r="D328" s="58">
        <v>-13616613</v>
      </c>
      <c r="E328" s="58">
        <f t="shared" si="182"/>
        <v>-13616613</v>
      </c>
      <c r="F328" s="62">
        <v>-13291055.609999999</v>
      </c>
      <c r="G328" s="58">
        <f t="shared" si="183"/>
        <v>325557.3900000006</v>
      </c>
      <c r="H328" s="25"/>
      <c r="I328" s="2"/>
    </row>
    <row r="329" spans="1:9" s="24" customFormat="1" x14ac:dyDescent="0.25">
      <c r="A329" s="57"/>
      <c r="B329" s="57"/>
      <c r="C329" s="57" t="s">
        <v>121</v>
      </c>
      <c r="D329" s="58">
        <v>-363564219</v>
      </c>
      <c r="E329" s="58">
        <f t="shared" si="182"/>
        <v>-363564219</v>
      </c>
      <c r="F329" s="62">
        <v>-345212402.62</v>
      </c>
      <c r="G329" s="58">
        <f t="shared" si="183"/>
        <v>18351816.379999995</v>
      </c>
      <c r="H329" s="25"/>
      <c r="I329" s="2"/>
    </row>
    <row r="330" spans="1:9" s="24" customFormat="1" x14ac:dyDescent="0.25">
      <c r="A330" s="57"/>
      <c r="B330" s="57"/>
      <c r="C330" s="57" t="s">
        <v>109</v>
      </c>
      <c r="D330" s="58">
        <v>-79630000</v>
      </c>
      <c r="E330" s="58">
        <f t="shared" si="182"/>
        <v>-79630000</v>
      </c>
      <c r="F330" s="62">
        <v>-66770711.07</v>
      </c>
      <c r="G330" s="58">
        <f t="shared" si="183"/>
        <v>12859288.93</v>
      </c>
      <c r="H330" s="25"/>
      <c r="I330" s="2"/>
    </row>
    <row r="331" spans="1:9" s="24" customFormat="1" x14ac:dyDescent="0.25">
      <c r="A331" s="57"/>
      <c r="B331" s="57"/>
      <c r="C331" s="57" t="s">
        <v>122</v>
      </c>
      <c r="D331" s="58">
        <v>-12514000</v>
      </c>
      <c r="E331" s="58">
        <f t="shared" si="182"/>
        <v>-12514000</v>
      </c>
      <c r="F331" s="62">
        <v>-11542733.16</v>
      </c>
      <c r="G331" s="58">
        <f t="shared" si="183"/>
        <v>971266.83999999985</v>
      </c>
      <c r="H331" s="25"/>
      <c r="I331" s="2"/>
    </row>
    <row r="332" spans="1:9" s="24" customFormat="1" x14ac:dyDescent="0.25">
      <c r="A332" s="57"/>
      <c r="B332" s="57"/>
      <c r="C332" s="57" t="s">
        <v>95</v>
      </c>
      <c r="D332" s="58"/>
      <c r="E332" s="58"/>
      <c r="F332" s="62">
        <v>-107102.83</v>
      </c>
      <c r="G332" s="58">
        <f t="shared" si="183"/>
        <v>-107102.83</v>
      </c>
      <c r="H332" s="25"/>
      <c r="I332" s="2"/>
    </row>
    <row r="333" spans="1:9" s="14" customFormat="1" x14ac:dyDescent="0.25">
      <c r="A333" s="51"/>
      <c r="B333" s="51"/>
      <c r="C333" s="51" t="s">
        <v>85</v>
      </c>
      <c r="D333" s="55">
        <v>-7132</v>
      </c>
      <c r="E333" s="55">
        <f t="shared" ref="E333" si="184">D333</f>
        <v>-7132</v>
      </c>
      <c r="F333" s="54">
        <v>-2403.06</v>
      </c>
      <c r="G333" s="55">
        <f t="shared" si="180"/>
        <v>4728.9400000000005</v>
      </c>
      <c r="H333" s="9"/>
      <c r="I333" s="2"/>
    </row>
    <row r="334" spans="1:9" x14ac:dyDescent="0.25">
      <c r="A334" s="51"/>
      <c r="B334" s="51" t="s">
        <v>88</v>
      </c>
      <c r="C334" s="51"/>
      <c r="D334" s="54">
        <f>SUM(D335:D337)</f>
        <v>-1318712</v>
      </c>
      <c r="E334" s="54">
        <f>SUM(E335:E337)</f>
        <v>-1600556.85</v>
      </c>
      <c r="F334" s="54">
        <f>SUM(F335:F337)</f>
        <v>-1553394.2999999998</v>
      </c>
      <c r="G334" s="54">
        <f>F334-E334</f>
        <v>47162.550000000279</v>
      </c>
      <c r="I334" s="2"/>
    </row>
    <row r="335" spans="1:9" x14ac:dyDescent="0.25">
      <c r="A335" s="28"/>
      <c r="B335" s="28"/>
      <c r="C335" s="28" t="s">
        <v>89</v>
      </c>
      <c r="D335" s="52">
        <f>D339+D346</f>
        <v>-405497</v>
      </c>
      <c r="E335" s="52">
        <f>E339+E344</f>
        <v>-454147.85000000003</v>
      </c>
      <c r="F335" s="52">
        <f>F339+F344</f>
        <v>-453870.56</v>
      </c>
      <c r="G335" s="52">
        <f t="shared" ref="G335:G337" si="185">F335-E335</f>
        <v>277.29000000003725</v>
      </c>
      <c r="I335" s="2"/>
    </row>
    <row r="336" spans="1:9" x14ac:dyDescent="0.25">
      <c r="A336" s="28"/>
      <c r="B336" s="28"/>
      <c r="C336" s="28" t="s">
        <v>90</v>
      </c>
      <c r="D336" s="52">
        <f>D340</f>
        <v>-464829</v>
      </c>
      <c r="E336" s="52">
        <f>E340</f>
        <v>-698023</v>
      </c>
      <c r="F336" s="52">
        <f t="shared" ref="F336" si="186">F340</f>
        <v>-597360.61</v>
      </c>
      <c r="G336" s="52">
        <f t="shared" si="185"/>
        <v>100662.39000000001</v>
      </c>
      <c r="I336" s="2"/>
    </row>
    <row r="337" spans="1:9" x14ac:dyDescent="0.25">
      <c r="A337" s="28"/>
      <c r="B337" s="28"/>
      <c r="C337" s="28" t="s">
        <v>91</v>
      </c>
      <c r="D337" s="52">
        <f>D347+D342</f>
        <v>-448386</v>
      </c>
      <c r="E337" s="52">
        <f>E347+E342</f>
        <v>-448386</v>
      </c>
      <c r="F337" s="52">
        <f>F347+F342</f>
        <v>-502163.13</v>
      </c>
      <c r="G337" s="52">
        <f t="shared" si="185"/>
        <v>-53777.130000000005</v>
      </c>
      <c r="I337" s="2"/>
    </row>
    <row r="338" spans="1:9" x14ac:dyDescent="0.25">
      <c r="A338" s="51"/>
      <c r="B338" s="51"/>
      <c r="C338" s="51" t="s">
        <v>79</v>
      </c>
      <c r="D338" s="54">
        <f>SUM(D339:D340)</f>
        <v>-848444</v>
      </c>
      <c r="E338" s="54">
        <f>SUM(E339:E340)</f>
        <v>-1131167.21</v>
      </c>
      <c r="F338" s="54">
        <f>SUM(F339:F340)</f>
        <v>-1030227.49</v>
      </c>
      <c r="G338" s="54">
        <f>F338-E338</f>
        <v>100939.71999999997</v>
      </c>
      <c r="I338" s="2"/>
    </row>
    <row r="339" spans="1:9" x14ac:dyDescent="0.25">
      <c r="A339" s="28"/>
      <c r="B339" s="28"/>
      <c r="C339" s="28" t="s">
        <v>89</v>
      </c>
      <c r="D339" s="52">
        <v>-383615</v>
      </c>
      <c r="E339" s="52">
        <f>D339-49529.21</f>
        <v>-433144.21</v>
      </c>
      <c r="F339" s="52">
        <v>-432866.88</v>
      </c>
      <c r="G339" s="52">
        <f t="shared" ref="G339:G344" si="187">F339-E339</f>
        <v>277.3300000000163</v>
      </c>
      <c r="I339" s="2"/>
    </row>
    <row r="340" spans="1:9" ht="12.95" customHeight="1" x14ac:dyDescent="0.25">
      <c r="A340" s="28"/>
      <c r="B340" s="28"/>
      <c r="C340" s="28" t="s">
        <v>90</v>
      </c>
      <c r="D340" s="52">
        <v>-464829</v>
      </c>
      <c r="E340" s="53">
        <f>D340-233194</f>
        <v>-698023</v>
      </c>
      <c r="F340" s="52">
        <v>-597360.61</v>
      </c>
      <c r="G340" s="52">
        <f t="shared" si="187"/>
        <v>100662.39000000001</v>
      </c>
      <c r="I340" s="2"/>
    </row>
    <row r="341" spans="1:9" ht="12.95" customHeight="1" x14ac:dyDescent="0.25">
      <c r="A341" s="28"/>
      <c r="B341" s="28"/>
      <c r="C341" s="51" t="s">
        <v>80</v>
      </c>
      <c r="D341" s="26">
        <f>D342</f>
        <v>0</v>
      </c>
      <c r="E341" s="52">
        <f>E342</f>
        <v>0</v>
      </c>
      <c r="F341" s="52">
        <f>F342</f>
        <v>-13.5</v>
      </c>
      <c r="G341" s="52">
        <f t="shared" si="187"/>
        <v>-13.5</v>
      </c>
      <c r="I341" s="2"/>
    </row>
    <row r="342" spans="1:9" ht="12.95" customHeight="1" x14ac:dyDescent="0.25">
      <c r="A342" s="28"/>
      <c r="B342" s="28"/>
      <c r="C342" s="28" t="s">
        <v>95</v>
      </c>
      <c r="D342" s="53">
        <v>0</v>
      </c>
      <c r="E342" s="53">
        <v>0</v>
      </c>
      <c r="F342" s="52">
        <v>-13.5</v>
      </c>
      <c r="G342" s="53">
        <f t="shared" si="187"/>
        <v>-13.5</v>
      </c>
      <c r="I342" s="2"/>
    </row>
    <row r="343" spans="1:9" ht="12.95" customHeight="1" x14ac:dyDescent="0.25">
      <c r="A343" s="28"/>
      <c r="B343" s="28"/>
      <c r="C343" s="59" t="s">
        <v>81</v>
      </c>
      <c r="D343" s="53">
        <f>D344</f>
        <v>0</v>
      </c>
      <c r="E343" s="53">
        <f>E344</f>
        <v>-21003.64</v>
      </c>
      <c r="F343" s="52">
        <f>F344</f>
        <v>-21003.68</v>
      </c>
      <c r="G343" s="53">
        <f t="shared" si="187"/>
        <v>-4.0000000000873115E-2</v>
      </c>
      <c r="I343" s="2"/>
    </row>
    <row r="344" spans="1:9" ht="12.95" customHeight="1" x14ac:dyDescent="0.25">
      <c r="A344" s="28"/>
      <c r="B344" s="28"/>
      <c r="C344" s="28" t="s">
        <v>89</v>
      </c>
      <c r="D344" s="53">
        <v>0</v>
      </c>
      <c r="E344" s="53">
        <v>-21003.64</v>
      </c>
      <c r="F344" s="52">
        <v>-21003.68</v>
      </c>
      <c r="G344" s="53">
        <f t="shared" si="187"/>
        <v>-4.0000000000873115E-2</v>
      </c>
      <c r="I344" s="2"/>
    </row>
    <row r="345" spans="1:9" s="14" customFormat="1" x14ac:dyDescent="0.25">
      <c r="A345" s="51"/>
      <c r="B345" s="51"/>
      <c r="C345" s="51" t="s">
        <v>82</v>
      </c>
      <c r="D345" s="55">
        <f>SUM(D346:D346)</f>
        <v>-21882</v>
      </c>
      <c r="E345" s="55">
        <f>SUM(E346:E346)</f>
        <v>-2.0000000000436557E-2</v>
      </c>
      <c r="F345" s="54">
        <f>SUM(F346:F346)</f>
        <v>0</v>
      </c>
      <c r="G345" s="55">
        <f>F345-E345</f>
        <v>2.0000000000436557E-2</v>
      </c>
      <c r="H345" s="9"/>
      <c r="I345" s="2"/>
    </row>
    <row r="346" spans="1:9" x14ac:dyDescent="0.25">
      <c r="A346" s="28"/>
      <c r="B346" s="28"/>
      <c r="C346" s="28" t="s">
        <v>89</v>
      </c>
      <c r="D346" s="53">
        <v>-21882</v>
      </c>
      <c r="E346" s="53">
        <f>D346+21881.98</f>
        <v>-2.0000000000436557E-2</v>
      </c>
      <c r="F346" s="52">
        <v>0</v>
      </c>
      <c r="G346" s="53">
        <f t="shared" ref="G346:G352" si="188">F346-E346</f>
        <v>2.0000000000436557E-2</v>
      </c>
      <c r="I346" s="2"/>
    </row>
    <row r="347" spans="1:9" s="14" customFormat="1" x14ac:dyDescent="0.25">
      <c r="A347" s="51"/>
      <c r="B347" s="51"/>
      <c r="C347" s="51" t="s">
        <v>85</v>
      </c>
      <c r="D347" s="55">
        <v>-448386</v>
      </c>
      <c r="E347" s="55">
        <f t="shared" ref="E347" si="189">D347</f>
        <v>-448386</v>
      </c>
      <c r="F347" s="54">
        <v>-502149.63</v>
      </c>
      <c r="G347" s="55">
        <f t="shared" si="188"/>
        <v>-53763.630000000005</v>
      </c>
      <c r="H347" s="9"/>
      <c r="I347" s="2"/>
    </row>
    <row r="348" spans="1:9" s="14" customFormat="1" ht="15.75" x14ac:dyDescent="0.25">
      <c r="A348" s="39" t="s">
        <v>123</v>
      </c>
      <c r="B348" s="51"/>
      <c r="C348" s="51"/>
      <c r="D348" s="55">
        <f>SUM(D349:D352)</f>
        <v>-36719889</v>
      </c>
      <c r="E348" s="55">
        <f>SUM(E349:E352)</f>
        <v>-37807274.769999996</v>
      </c>
      <c r="F348" s="54">
        <f>SUM(F349:F352)</f>
        <v>-30892731.379999995</v>
      </c>
      <c r="G348" s="55">
        <f t="shared" si="188"/>
        <v>6914543.3900000006</v>
      </c>
      <c r="H348" s="9"/>
      <c r="I348" s="2"/>
    </row>
    <row r="349" spans="1:9" x14ac:dyDescent="0.25">
      <c r="A349" s="28"/>
      <c r="B349" s="28" t="s">
        <v>79</v>
      </c>
      <c r="C349" s="28"/>
      <c r="D349" s="52">
        <f>D367+D386</f>
        <v>-27727076</v>
      </c>
      <c r="E349" s="52">
        <f t="shared" ref="E349:F349" si="190">E367+E386</f>
        <v>-27625708.569999997</v>
      </c>
      <c r="F349" s="52">
        <f t="shared" si="190"/>
        <v>-24639389.489999998</v>
      </c>
      <c r="G349" s="52">
        <f t="shared" si="188"/>
        <v>2986319.0799999982</v>
      </c>
      <c r="I349" s="2"/>
    </row>
    <row r="350" spans="1:9" x14ac:dyDescent="0.25">
      <c r="A350" s="28"/>
      <c r="B350" s="28" t="s">
        <v>80</v>
      </c>
      <c r="C350" s="28"/>
      <c r="D350" s="52">
        <f>D373+D389</f>
        <v>-2625084</v>
      </c>
      <c r="E350" s="52">
        <f>E373+E389</f>
        <v>-2625084</v>
      </c>
      <c r="F350" s="52">
        <f>F373+F389</f>
        <v>-2574439.4500000002</v>
      </c>
      <c r="G350" s="52">
        <f t="shared" si="188"/>
        <v>50644.549999999814</v>
      </c>
      <c r="I350" s="2"/>
    </row>
    <row r="351" spans="1:9" x14ac:dyDescent="0.25">
      <c r="A351" s="28"/>
      <c r="B351" s="28" t="s">
        <v>81</v>
      </c>
      <c r="C351" s="28"/>
      <c r="D351" s="52">
        <f>D357+D377+D391</f>
        <v>-5615331</v>
      </c>
      <c r="E351" s="52">
        <f t="shared" ref="E351:F351" si="191">E357+E377+E391</f>
        <v>-6804084.2000000002</v>
      </c>
      <c r="F351" s="52">
        <f t="shared" si="191"/>
        <v>-2710482.81</v>
      </c>
      <c r="G351" s="52">
        <f t="shared" si="188"/>
        <v>4093601.39</v>
      </c>
      <c r="I351" s="2"/>
    </row>
    <row r="352" spans="1:9" x14ac:dyDescent="0.25">
      <c r="A352" s="28"/>
      <c r="B352" s="28" t="s">
        <v>85</v>
      </c>
      <c r="C352" s="28"/>
      <c r="D352" s="52">
        <f>D381+D394</f>
        <v>-752398</v>
      </c>
      <c r="E352" s="52">
        <f t="shared" ref="E352:F352" si="192">E381+E394</f>
        <v>-752398</v>
      </c>
      <c r="F352" s="52">
        <f t="shared" si="192"/>
        <v>-968419.63</v>
      </c>
      <c r="G352" s="52">
        <f t="shared" si="188"/>
        <v>-216021.63</v>
      </c>
      <c r="I352" s="2"/>
    </row>
    <row r="353" spans="1:9" x14ac:dyDescent="0.25">
      <c r="A353" s="51"/>
      <c r="B353" s="51" t="s">
        <v>99</v>
      </c>
      <c r="C353" s="51"/>
      <c r="D353" s="54">
        <f>SUM(D354:D355)</f>
        <v>-1229455</v>
      </c>
      <c r="E353" s="54">
        <f>SUM(E354:E356)</f>
        <v>-2041910.26</v>
      </c>
      <c r="F353" s="54">
        <f>SUM(F354:F356)</f>
        <v>-554182.57999999996</v>
      </c>
      <c r="G353" s="54">
        <f>F353-E353</f>
        <v>1487727.6800000002</v>
      </c>
      <c r="I353" s="2"/>
    </row>
    <row r="354" spans="1:9" x14ac:dyDescent="0.25">
      <c r="A354" s="28"/>
      <c r="B354" s="28"/>
      <c r="C354" s="28" t="s">
        <v>89</v>
      </c>
      <c r="D354" s="52">
        <f>D358</f>
        <v>-21675</v>
      </c>
      <c r="E354" s="52">
        <f t="shared" ref="E354:F354" si="193">E358</f>
        <v>-338349.74</v>
      </c>
      <c r="F354" s="52">
        <f t="shared" si="193"/>
        <v>-25420.560000000001</v>
      </c>
      <c r="G354" s="52">
        <f t="shared" ref="G354:G356" si="194">F354-E354</f>
        <v>312929.18</v>
      </c>
      <c r="I354" s="2"/>
    </row>
    <row r="355" spans="1:9" x14ac:dyDescent="0.25">
      <c r="A355" s="28"/>
      <c r="B355" s="28"/>
      <c r="C355" s="28" t="s">
        <v>90</v>
      </c>
      <c r="D355" s="52">
        <f>D359</f>
        <v>-1207780</v>
      </c>
      <c r="E355" s="52">
        <f t="shared" ref="E355:F355" si="195">E359</f>
        <v>-1225422.96</v>
      </c>
      <c r="F355" s="52">
        <f t="shared" si="195"/>
        <v>-50624.46</v>
      </c>
      <c r="G355" s="52">
        <f t="shared" si="194"/>
        <v>1174798.5</v>
      </c>
      <c r="I355" s="2"/>
    </row>
    <row r="356" spans="1:9" x14ac:dyDescent="0.25">
      <c r="A356" s="28"/>
      <c r="B356" s="28"/>
      <c r="C356" s="28" t="s">
        <v>100</v>
      </c>
      <c r="D356" s="52">
        <f>D360</f>
        <v>0</v>
      </c>
      <c r="E356" s="52">
        <f>E360</f>
        <v>-478137.56</v>
      </c>
      <c r="F356" s="52">
        <f>F360</f>
        <v>-478137.56</v>
      </c>
      <c r="G356" s="52">
        <f t="shared" si="194"/>
        <v>0</v>
      </c>
      <c r="I356" s="2"/>
    </row>
    <row r="357" spans="1:9" s="14" customFormat="1" x14ac:dyDescent="0.25">
      <c r="A357" s="51"/>
      <c r="B357" s="51"/>
      <c r="C357" s="51" t="s">
        <v>81</v>
      </c>
      <c r="D357" s="54">
        <f>SUM(D358:D360)</f>
        <v>-1229455</v>
      </c>
      <c r="E357" s="54">
        <f>SUM(E358:E360)</f>
        <v>-2041910.26</v>
      </c>
      <c r="F357" s="54">
        <f>SUM(F358:F360)</f>
        <v>-554182.57999999996</v>
      </c>
      <c r="G357" s="54">
        <f>F357-E357</f>
        <v>1487727.6800000002</v>
      </c>
      <c r="H357" s="9"/>
      <c r="I357" s="2"/>
    </row>
    <row r="358" spans="1:9" x14ac:dyDescent="0.25">
      <c r="A358" s="28"/>
      <c r="B358" s="28"/>
      <c r="C358" s="28" t="s">
        <v>89</v>
      </c>
      <c r="D358" s="53">
        <v>-21675</v>
      </c>
      <c r="E358" s="53">
        <f>D358-316674.74</f>
        <v>-338349.74</v>
      </c>
      <c r="F358" s="52">
        <v>-25420.560000000001</v>
      </c>
      <c r="G358" s="53">
        <f t="shared" ref="G358:G360" si="196">F358-E358</f>
        <v>312929.18</v>
      </c>
      <c r="I358" s="2"/>
    </row>
    <row r="359" spans="1:9" x14ac:dyDescent="0.25">
      <c r="A359" s="28"/>
      <c r="B359" s="28"/>
      <c r="C359" s="28" t="s">
        <v>90</v>
      </c>
      <c r="D359" s="53">
        <v>-1207780</v>
      </c>
      <c r="E359" s="53">
        <f>D359-17642.96</f>
        <v>-1225422.96</v>
      </c>
      <c r="F359" s="52">
        <v>-50624.46</v>
      </c>
      <c r="G359" s="53">
        <f t="shared" si="196"/>
        <v>1174798.5</v>
      </c>
      <c r="I359" s="2"/>
    </row>
    <row r="360" spans="1:9" x14ac:dyDescent="0.25">
      <c r="A360" s="28"/>
      <c r="B360" s="28"/>
      <c r="C360" s="28" t="s">
        <v>100</v>
      </c>
      <c r="D360" s="53">
        <v>0</v>
      </c>
      <c r="E360" s="53">
        <v>-478137.56</v>
      </c>
      <c r="F360" s="52">
        <v>-478137.56</v>
      </c>
      <c r="G360" s="53">
        <f t="shared" si="196"/>
        <v>0</v>
      </c>
      <c r="I360" s="2"/>
    </row>
    <row r="361" spans="1:9" x14ac:dyDescent="0.25">
      <c r="A361" s="51"/>
      <c r="B361" s="51" t="s">
        <v>93</v>
      </c>
      <c r="C361" s="51"/>
      <c r="D361" s="54">
        <f>SUM(D362:D366)</f>
        <v>-33044628</v>
      </c>
      <c r="E361" s="54">
        <f>SUM(E362:E366)</f>
        <v>-33132897.889999997</v>
      </c>
      <c r="F361" s="54">
        <f>SUM(F362:F366)</f>
        <v>-27595247.169999998</v>
      </c>
      <c r="G361" s="54">
        <f>F361-E361</f>
        <v>5537650.7199999988</v>
      </c>
      <c r="I361" s="2"/>
    </row>
    <row r="362" spans="1:9" x14ac:dyDescent="0.25">
      <c r="A362" s="28"/>
      <c r="B362" s="28"/>
      <c r="C362" s="28" t="s">
        <v>89</v>
      </c>
      <c r="D362" s="52">
        <f>D368+D378</f>
        <v>-3888685</v>
      </c>
      <c r="E362" s="52">
        <f t="shared" ref="E362:F362" si="197">E368+E378</f>
        <v>-7407401.4600000009</v>
      </c>
      <c r="F362" s="52">
        <f t="shared" si="197"/>
        <v>-6563395.5399999991</v>
      </c>
      <c r="G362" s="52">
        <f t="shared" ref="G362:G366" si="198">F362-E362</f>
        <v>844005.92000000179</v>
      </c>
      <c r="I362" s="2"/>
    </row>
    <row r="363" spans="1:9" x14ac:dyDescent="0.25">
      <c r="A363" s="28"/>
      <c r="B363" s="28"/>
      <c r="C363" s="28" t="s">
        <v>90</v>
      </c>
      <c r="D363" s="52">
        <f>D369+D379</f>
        <v>-7766319</v>
      </c>
      <c r="E363" s="52">
        <f t="shared" ref="E363:F363" si="199">E369+E379</f>
        <v>-8494889</v>
      </c>
      <c r="F363" s="52">
        <f t="shared" si="199"/>
        <v>-3809193.13</v>
      </c>
      <c r="G363" s="52">
        <f t="shared" si="198"/>
        <v>4685695.87</v>
      </c>
      <c r="I363" s="2"/>
    </row>
    <row r="364" spans="1:9" x14ac:dyDescent="0.25">
      <c r="A364" s="28"/>
      <c r="B364" s="28"/>
      <c r="C364" s="28" t="s">
        <v>94</v>
      </c>
      <c r="D364" s="52">
        <f>D370+D374</f>
        <v>-19051642</v>
      </c>
      <c r="E364" s="52">
        <f t="shared" ref="E364:F364" si="200">E370+E374</f>
        <v>-16617382.949999999</v>
      </c>
      <c r="F364" s="52">
        <f t="shared" si="200"/>
        <v>-16763977.07</v>
      </c>
      <c r="G364" s="52">
        <f t="shared" si="198"/>
        <v>-146594.12000000104</v>
      </c>
      <c r="I364" s="2"/>
    </row>
    <row r="365" spans="1:9" x14ac:dyDescent="0.25">
      <c r="A365" s="28"/>
      <c r="B365" s="28"/>
      <c r="C365" s="28" t="s">
        <v>100</v>
      </c>
      <c r="D365" s="52">
        <f>D371+D380</f>
        <v>-2333101</v>
      </c>
      <c r="E365" s="52">
        <f t="shared" ref="E365:F365" si="201">E371+E380</f>
        <v>-607893.49</v>
      </c>
      <c r="F365" s="52">
        <f t="shared" si="201"/>
        <v>-398476.06</v>
      </c>
      <c r="G365" s="52">
        <f t="shared" ref="G365" si="202">F365-E365</f>
        <v>209417.43</v>
      </c>
      <c r="I365" s="2"/>
    </row>
    <row r="366" spans="1:9" x14ac:dyDescent="0.25">
      <c r="A366" s="28"/>
      <c r="B366" s="28"/>
      <c r="C366" s="28" t="s">
        <v>91</v>
      </c>
      <c r="D366" s="52">
        <f>D381+D372+D376</f>
        <v>-4881</v>
      </c>
      <c r="E366" s="52">
        <f>E381+E372+E376</f>
        <v>-5330.99</v>
      </c>
      <c r="F366" s="52">
        <f>F381+F372+F376</f>
        <v>-60205.37</v>
      </c>
      <c r="G366" s="52">
        <f t="shared" si="198"/>
        <v>-54874.380000000005</v>
      </c>
      <c r="I366" s="2"/>
    </row>
    <row r="367" spans="1:9" x14ac:dyDescent="0.25">
      <c r="A367" s="51"/>
      <c r="B367" s="51"/>
      <c r="C367" s="51" t="s">
        <v>79</v>
      </c>
      <c r="D367" s="54">
        <f>SUM(D368:D372)</f>
        <v>-26289163</v>
      </c>
      <c r="E367" s="54">
        <f>SUM(E368:E372)</f>
        <v>-26082877.579999998</v>
      </c>
      <c r="F367" s="54">
        <f>SUM(F368:F372)</f>
        <v>-23123728.509999998</v>
      </c>
      <c r="G367" s="54">
        <f>F367-E367</f>
        <v>2959149.0700000003</v>
      </c>
      <c r="I367" s="2"/>
    </row>
    <row r="368" spans="1:9" x14ac:dyDescent="0.25">
      <c r="A368" s="28"/>
      <c r="B368" s="28"/>
      <c r="C368" s="28" t="s">
        <v>89</v>
      </c>
      <c r="D368" s="52">
        <v>-3523072</v>
      </c>
      <c r="E368" s="52">
        <f>D368-3076335.15</f>
        <v>-6599407.1500000004</v>
      </c>
      <c r="F368" s="52">
        <v>-5810117.2699999996</v>
      </c>
      <c r="G368" s="52">
        <f t="shared" ref="G368:G381" si="203">F368-E368</f>
        <v>789289.88000000082</v>
      </c>
      <c r="I368" s="2"/>
    </row>
    <row r="369" spans="1:9" x14ac:dyDescent="0.25">
      <c r="A369" s="28"/>
      <c r="B369" s="28"/>
      <c r="C369" s="28" t="s">
        <v>90</v>
      </c>
      <c r="D369" s="52">
        <v>-6331932</v>
      </c>
      <c r="E369" s="52">
        <f>D369+1449104</f>
        <v>-4882828</v>
      </c>
      <c r="F369" s="52">
        <v>-2725248.5</v>
      </c>
      <c r="G369" s="52">
        <f t="shared" si="203"/>
        <v>2157579.5</v>
      </c>
      <c r="I369" s="2"/>
    </row>
    <row r="370" spans="1:9" x14ac:dyDescent="0.25">
      <c r="A370" s="28"/>
      <c r="B370" s="28"/>
      <c r="C370" s="28" t="s">
        <v>94</v>
      </c>
      <c r="D370" s="52">
        <v>-16426558</v>
      </c>
      <c r="E370" s="52">
        <f>D370+2434259.05</f>
        <v>-13992298.949999999</v>
      </c>
      <c r="F370" s="52">
        <v>-14189436.689999999</v>
      </c>
      <c r="G370" s="52">
        <f t="shared" ref="G370:G372" si="204">F370-E370</f>
        <v>-197137.74000000022</v>
      </c>
      <c r="I370" s="2"/>
    </row>
    <row r="371" spans="1:9" x14ac:dyDescent="0.25">
      <c r="A371" s="28"/>
      <c r="B371" s="28"/>
      <c r="C371" s="28" t="s">
        <v>100</v>
      </c>
      <c r="D371" s="52">
        <v>-7601</v>
      </c>
      <c r="E371" s="52">
        <f>D371-600292.49</f>
        <v>-607893.49</v>
      </c>
      <c r="F371" s="52">
        <v>-398476.06</v>
      </c>
      <c r="G371" s="52">
        <f t="shared" si="204"/>
        <v>209417.43</v>
      </c>
      <c r="I371" s="2"/>
    </row>
    <row r="372" spans="1:9" x14ac:dyDescent="0.25">
      <c r="A372" s="28"/>
      <c r="B372" s="28"/>
      <c r="C372" s="28" t="s">
        <v>95</v>
      </c>
      <c r="D372" s="52">
        <v>0</v>
      </c>
      <c r="E372" s="52">
        <v>-449.99</v>
      </c>
      <c r="F372" s="52">
        <v>-449.99</v>
      </c>
      <c r="G372" s="52">
        <f t="shared" si="204"/>
        <v>0</v>
      </c>
      <c r="I372" s="2"/>
    </row>
    <row r="373" spans="1:9" s="14" customFormat="1" x14ac:dyDescent="0.25">
      <c r="A373" s="51"/>
      <c r="B373" s="51"/>
      <c r="C373" s="51" t="s">
        <v>80</v>
      </c>
      <c r="D373" s="54">
        <f>SUM(D374:D374)+D376</f>
        <v>-2625084</v>
      </c>
      <c r="E373" s="54">
        <f>SUM(E374:E374)+EE376</f>
        <v>-2625084</v>
      </c>
      <c r="F373" s="54">
        <f>SUM(F374:F374)+F376</f>
        <v>-2574421.6</v>
      </c>
      <c r="G373" s="52">
        <f t="shared" si="203"/>
        <v>50662.399999999907</v>
      </c>
      <c r="H373" s="9"/>
      <c r="I373" s="2"/>
    </row>
    <row r="374" spans="1:9" x14ac:dyDescent="0.25">
      <c r="A374" s="28"/>
      <c r="B374" s="28"/>
      <c r="C374" s="28" t="s">
        <v>94</v>
      </c>
      <c r="D374" s="52">
        <f>D375</f>
        <v>-2625084</v>
      </c>
      <c r="E374" s="52">
        <f t="shared" ref="E374:F374" si="205">E375</f>
        <v>-2625084</v>
      </c>
      <c r="F374" s="52">
        <f t="shared" si="205"/>
        <v>-2574540.38</v>
      </c>
      <c r="G374" s="52">
        <f t="shared" si="203"/>
        <v>50543.620000000112</v>
      </c>
      <c r="I374" s="2"/>
    </row>
    <row r="375" spans="1:9" s="24" customFormat="1" x14ac:dyDescent="0.25">
      <c r="A375" s="57"/>
      <c r="B375" s="57"/>
      <c r="C375" s="57" t="s">
        <v>114</v>
      </c>
      <c r="D375" s="62">
        <v>-2625084</v>
      </c>
      <c r="E375" s="62">
        <f t="shared" ref="E375:E381" si="206">D375</f>
        <v>-2625084</v>
      </c>
      <c r="F375" s="62">
        <v>-2574540.38</v>
      </c>
      <c r="G375" s="62">
        <f t="shared" si="203"/>
        <v>50543.620000000112</v>
      </c>
      <c r="H375" s="25"/>
      <c r="I375" s="2"/>
    </row>
    <row r="376" spans="1:9" s="24" customFormat="1" x14ac:dyDescent="0.25">
      <c r="A376" s="57"/>
      <c r="B376" s="57"/>
      <c r="C376" s="28" t="s">
        <v>95</v>
      </c>
      <c r="D376" s="52">
        <v>0</v>
      </c>
      <c r="E376" s="52">
        <v>0</v>
      </c>
      <c r="F376" s="52">
        <v>118.78</v>
      </c>
      <c r="G376" s="62">
        <f t="shared" si="203"/>
        <v>118.78</v>
      </c>
      <c r="H376" s="25"/>
      <c r="I376" s="2"/>
    </row>
    <row r="377" spans="1:9" s="14" customFormat="1" x14ac:dyDescent="0.25">
      <c r="A377" s="51"/>
      <c r="B377" s="51"/>
      <c r="C377" s="51" t="s">
        <v>81</v>
      </c>
      <c r="D377" s="54">
        <f>SUM(D378:D380)</f>
        <v>-4125500</v>
      </c>
      <c r="E377" s="54">
        <f t="shared" ref="E377:F377" si="207">SUM(E378:E380)</f>
        <v>-4420055.3100000005</v>
      </c>
      <c r="F377" s="54">
        <f t="shared" si="207"/>
        <v>-1837222.9</v>
      </c>
      <c r="G377" s="54">
        <f>F377-E377</f>
        <v>2582832.4100000006</v>
      </c>
      <c r="H377" s="9"/>
      <c r="I377" s="2"/>
    </row>
    <row r="378" spans="1:9" x14ac:dyDescent="0.25">
      <c r="A378" s="28"/>
      <c r="B378" s="28"/>
      <c r="C378" s="28" t="s">
        <v>89</v>
      </c>
      <c r="D378" s="52">
        <v>-365613</v>
      </c>
      <c r="E378" s="52">
        <f>D378-442381.31</f>
        <v>-807994.31</v>
      </c>
      <c r="F378" s="52">
        <v>-753278.27</v>
      </c>
      <c r="G378" s="52">
        <f t="shared" ref="G378:G379" si="208">F378-E378</f>
        <v>54716.040000000037</v>
      </c>
      <c r="I378" s="2"/>
    </row>
    <row r="379" spans="1:9" x14ac:dyDescent="0.25">
      <c r="A379" s="28"/>
      <c r="B379" s="28"/>
      <c r="C379" s="28" t="s">
        <v>90</v>
      </c>
      <c r="D379" s="52">
        <v>-1434387</v>
      </c>
      <c r="E379" s="52">
        <f>D379-2177674</f>
        <v>-3612061</v>
      </c>
      <c r="F379" s="52">
        <v>-1083944.6299999999</v>
      </c>
      <c r="G379" s="52">
        <f t="shared" si="208"/>
        <v>2528116.37</v>
      </c>
      <c r="I379" s="2"/>
    </row>
    <row r="380" spans="1:9" x14ac:dyDescent="0.25">
      <c r="A380" s="28"/>
      <c r="B380" s="28"/>
      <c r="C380" s="28" t="s">
        <v>100</v>
      </c>
      <c r="D380" s="52">
        <v>-2325500</v>
      </c>
      <c r="E380" s="52">
        <f>D380+2325500</f>
        <v>0</v>
      </c>
      <c r="F380" s="52"/>
      <c r="G380" s="52">
        <f t="shared" ref="G380" si="209">F380-E380</f>
        <v>0</v>
      </c>
      <c r="I380" s="2"/>
    </row>
    <row r="381" spans="1:9" s="14" customFormat="1" x14ac:dyDescent="0.25">
      <c r="A381" s="51"/>
      <c r="B381" s="51"/>
      <c r="C381" s="51" t="s">
        <v>85</v>
      </c>
      <c r="D381" s="54">
        <v>-4881</v>
      </c>
      <c r="E381" s="54">
        <f t="shared" si="206"/>
        <v>-4881</v>
      </c>
      <c r="F381" s="54">
        <v>-59874.16</v>
      </c>
      <c r="G381" s="54">
        <f t="shared" si="203"/>
        <v>-54993.16</v>
      </c>
      <c r="H381" s="9"/>
      <c r="I381" s="2"/>
    </row>
    <row r="382" spans="1:9" x14ac:dyDescent="0.25">
      <c r="A382" s="51"/>
      <c r="B382" s="51" t="s">
        <v>88</v>
      </c>
      <c r="C382" s="51"/>
      <c r="D382" s="54">
        <f>SUM(D383:D385)</f>
        <v>-2445806</v>
      </c>
      <c r="E382" s="54">
        <f>SUM(E383:E385)</f>
        <v>-2632466.62</v>
      </c>
      <c r="F382" s="54">
        <f>SUM(F383:F385)</f>
        <v>-2743301.63</v>
      </c>
      <c r="G382" s="54">
        <f>F382-E382</f>
        <v>-110835.00999999978</v>
      </c>
      <c r="I382" s="2"/>
    </row>
    <row r="383" spans="1:9" x14ac:dyDescent="0.25">
      <c r="A383" s="28"/>
      <c r="B383" s="28"/>
      <c r="C383" s="28" t="s">
        <v>89</v>
      </c>
      <c r="D383" s="52">
        <f>D387+D392</f>
        <v>-789068</v>
      </c>
      <c r="E383" s="52">
        <f t="shared" ref="E383:F383" si="210">E387+E392</f>
        <v>-967661.89</v>
      </c>
      <c r="F383" s="52">
        <f t="shared" si="210"/>
        <v>-921196.88000000012</v>
      </c>
      <c r="G383" s="52">
        <f t="shared" ref="G383:G385" si="211">F383-E383</f>
        <v>46465.009999999893</v>
      </c>
      <c r="I383" s="2"/>
    </row>
    <row r="384" spans="1:9" x14ac:dyDescent="0.25">
      <c r="A384" s="28"/>
      <c r="B384" s="28"/>
      <c r="C384" s="28" t="s">
        <v>90</v>
      </c>
      <c r="D384" s="52">
        <f>D388+D393</f>
        <v>-909221</v>
      </c>
      <c r="E384" s="52">
        <f t="shared" ref="E384:F384" si="212">E388+E393</f>
        <v>-917287.73</v>
      </c>
      <c r="F384" s="52">
        <f t="shared" si="212"/>
        <v>-913541.42999999993</v>
      </c>
      <c r="G384" s="52">
        <f t="shared" si="211"/>
        <v>3746.3000000000466</v>
      </c>
      <c r="I384" s="2"/>
    </row>
    <row r="385" spans="1:9" x14ac:dyDescent="0.25">
      <c r="A385" s="28"/>
      <c r="B385" s="28"/>
      <c r="C385" s="28" t="s">
        <v>91</v>
      </c>
      <c r="D385" s="52">
        <f>D394+D390</f>
        <v>-747517</v>
      </c>
      <c r="E385" s="52">
        <f>E394+E390</f>
        <v>-747517</v>
      </c>
      <c r="F385" s="52">
        <f>F394+F390</f>
        <v>-908563.32</v>
      </c>
      <c r="G385" s="52">
        <f t="shared" si="211"/>
        <v>-161046.31999999995</v>
      </c>
      <c r="I385" s="2"/>
    </row>
    <row r="386" spans="1:9" x14ac:dyDescent="0.25">
      <c r="A386" s="51"/>
      <c r="B386" s="51"/>
      <c r="C386" s="51" t="s">
        <v>79</v>
      </c>
      <c r="D386" s="54">
        <f>SUM(D387:D388)</f>
        <v>-1437913</v>
      </c>
      <c r="E386" s="54">
        <f>SUM(E387:E388)</f>
        <v>-1542830.99</v>
      </c>
      <c r="F386" s="54">
        <f>SUM(F387:F388)</f>
        <v>-1515660.98</v>
      </c>
      <c r="G386" s="54">
        <f>F386-E386</f>
        <v>27170.010000000009</v>
      </c>
      <c r="I386" s="2"/>
    </row>
    <row r="387" spans="1:9" x14ac:dyDescent="0.25">
      <c r="A387" s="28"/>
      <c r="B387" s="28"/>
      <c r="C387" s="28" t="s">
        <v>89</v>
      </c>
      <c r="D387" s="52">
        <v>-565323</v>
      </c>
      <c r="E387" s="52">
        <f>D387-79491</f>
        <v>-644814</v>
      </c>
      <c r="F387" s="52">
        <v>-621390.29</v>
      </c>
      <c r="G387" s="52">
        <f t="shared" ref="G387:G390" si="213">F387-E387</f>
        <v>23423.709999999963</v>
      </c>
      <c r="I387" s="2"/>
    </row>
    <row r="388" spans="1:9" x14ac:dyDescent="0.25">
      <c r="A388" s="28"/>
      <c r="B388" s="28"/>
      <c r="C388" s="28" t="s">
        <v>90</v>
      </c>
      <c r="D388" s="52">
        <v>-872590</v>
      </c>
      <c r="E388" s="52">
        <f>D388-25426.99</f>
        <v>-898016.99</v>
      </c>
      <c r="F388" s="52">
        <v>-894270.69</v>
      </c>
      <c r="G388" s="52">
        <f t="shared" si="213"/>
        <v>3746.3000000000466</v>
      </c>
      <c r="I388" s="2"/>
    </row>
    <row r="389" spans="1:9" x14ac:dyDescent="0.25">
      <c r="A389" s="28"/>
      <c r="B389" s="28"/>
      <c r="C389" s="51" t="s">
        <v>80</v>
      </c>
      <c r="D389" s="52">
        <f>D390</f>
        <v>0</v>
      </c>
      <c r="E389" s="52">
        <f>E390</f>
        <v>0</v>
      </c>
      <c r="F389" s="52">
        <f>F390</f>
        <v>-17.850000000000001</v>
      </c>
      <c r="G389" s="52">
        <f t="shared" si="213"/>
        <v>-17.850000000000001</v>
      </c>
      <c r="I389" s="2"/>
    </row>
    <row r="390" spans="1:9" x14ac:dyDescent="0.25">
      <c r="A390" s="28"/>
      <c r="B390" s="28"/>
      <c r="C390" s="28" t="s">
        <v>95</v>
      </c>
      <c r="D390" s="52">
        <v>0</v>
      </c>
      <c r="E390" s="52">
        <v>0</v>
      </c>
      <c r="F390" s="52">
        <v>-17.850000000000001</v>
      </c>
      <c r="G390" s="52">
        <f t="shared" si="213"/>
        <v>-17.850000000000001</v>
      </c>
      <c r="I390" s="2"/>
    </row>
    <row r="391" spans="1:9" s="14" customFormat="1" x14ac:dyDescent="0.25">
      <c r="A391" s="51"/>
      <c r="B391" s="51"/>
      <c r="C391" s="51" t="s">
        <v>81</v>
      </c>
      <c r="D391" s="55">
        <f>SUM(D392:D393)</f>
        <v>-260376</v>
      </c>
      <c r="E391" s="55">
        <f t="shared" ref="E391:F391" si="214">SUM(E392:E393)</f>
        <v>-342118.63</v>
      </c>
      <c r="F391" s="54">
        <f t="shared" si="214"/>
        <v>-319077.33</v>
      </c>
      <c r="G391" s="55">
        <f>F391-E391</f>
        <v>23041.299999999988</v>
      </c>
      <c r="H391" s="9"/>
      <c r="I391" s="2"/>
    </row>
    <row r="392" spans="1:9" x14ac:dyDescent="0.25">
      <c r="A392" s="28"/>
      <c r="B392" s="28"/>
      <c r="C392" s="28" t="s">
        <v>89</v>
      </c>
      <c r="D392" s="53">
        <v>-223745</v>
      </c>
      <c r="E392" s="53">
        <f>D392-99102.89</f>
        <v>-322847.89</v>
      </c>
      <c r="F392" s="52">
        <v>-299806.59000000003</v>
      </c>
      <c r="G392" s="53">
        <f t="shared" ref="G392:G399" si="215">F392-E392</f>
        <v>23041.299999999988</v>
      </c>
      <c r="I392" s="2"/>
    </row>
    <row r="393" spans="1:9" x14ac:dyDescent="0.25">
      <c r="A393" s="28"/>
      <c r="B393" s="28"/>
      <c r="C393" s="28" t="s">
        <v>90</v>
      </c>
      <c r="D393" s="53">
        <v>-36631</v>
      </c>
      <c r="E393" s="53">
        <f>D393+17360.26</f>
        <v>-19270.740000000002</v>
      </c>
      <c r="F393" s="52">
        <v>-19270.740000000002</v>
      </c>
      <c r="G393" s="53">
        <f t="shared" si="215"/>
        <v>0</v>
      </c>
      <c r="I393" s="2"/>
    </row>
    <row r="394" spans="1:9" s="14" customFormat="1" x14ac:dyDescent="0.25">
      <c r="A394" s="51"/>
      <c r="B394" s="51"/>
      <c r="C394" s="51" t="s">
        <v>85</v>
      </c>
      <c r="D394" s="55">
        <v>-747517</v>
      </c>
      <c r="E394" s="55">
        <f t="shared" ref="E394" si="216">D394</f>
        <v>-747517</v>
      </c>
      <c r="F394" s="54">
        <v>-908545.47</v>
      </c>
      <c r="G394" s="55">
        <f t="shared" si="215"/>
        <v>-161028.46999999997</v>
      </c>
      <c r="H394" s="9"/>
      <c r="I394" s="2"/>
    </row>
    <row r="395" spans="1:9" s="14" customFormat="1" ht="15.75" x14ac:dyDescent="0.25">
      <c r="A395" s="39" t="s">
        <v>124</v>
      </c>
      <c r="B395" s="51"/>
      <c r="C395" s="51"/>
      <c r="D395" s="55">
        <f>SUM(D396:D399)</f>
        <v>-4096074</v>
      </c>
      <c r="E395" s="55">
        <f>SUM(E396:E399)</f>
        <v>-3533680.41</v>
      </c>
      <c r="F395" s="54">
        <f>SUM(F396:F399)</f>
        <v>-3113281.27</v>
      </c>
      <c r="G395" s="55">
        <f t="shared" si="215"/>
        <v>420399.14000000013</v>
      </c>
      <c r="H395" s="9"/>
      <c r="I395" s="2"/>
    </row>
    <row r="396" spans="1:9" x14ac:dyDescent="0.25">
      <c r="A396" s="28"/>
      <c r="B396" s="28" t="s">
        <v>79</v>
      </c>
      <c r="C396" s="28"/>
      <c r="D396" s="52">
        <f>D405+D420</f>
        <v>-2169050</v>
      </c>
      <c r="E396" s="52">
        <f t="shared" ref="E396:F396" si="217">E405+E420</f>
        <v>-2249720.38</v>
      </c>
      <c r="F396" s="52">
        <f t="shared" si="217"/>
        <v>-2062964.1</v>
      </c>
      <c r="G396" s="52">
        <f t="shared" si="215"/>
        <v>186756.2799999998</v>
      </c>
      <c r="I396" s="2"/>
    </row>
    <row r="397" spans="1:9" x14ac:dyDescent="0.25">
      <c r="A397" s="28"/>
      <c r="B397" s="28" t="s">
        <v>80</v>
      </c>
      <c r="C397" s="28"/>
      <c r="D397" s="52">
        <f>D409+D423</f>
        <v>0</v>
      </c>
      <c r="E397" s="52">
        <f>E409+E423</f>
        <v>0</v>
      </c>
      <c r="F397" s="52">
        <f>F423+F409</f>
        <v>-3.92</v>
      </c>
      <c r="G397" s="52">
        <f t="shared" si="215"/>
        <v>-3.92</v>
      </c>
      <c r="I397" s="2"/>
    </row>
    <row r="398" spans="1:9" x14ac:dyDescent="0.25">
      <c r="A398" s="28"/>
      <c r="B398" s="28" t="s">
        <v>81</v>
      </c>
      <c r="C398" s="28"/>
      <c r="D398" s="52">
        <f>D411+D425</f>
        <v>-1630895</v>
      </c>
      <c r="E398" s="52">
        <f t="shared" ref="E398:F398" si="218">E411+E425</f>
        <v>-987831.03</v>
      </c>
      <c r="F398" s="52">
        <f t="shared" si="218"/>
        <v>-675464.75</v>
      </c>
      <c r="G398" s="52">
        <f t="shared" si="215"/>
        <v>312366.28000000003</v>
      </c>
      <c r="I398" s="2"/>
    </row>
    <row r="399" spans="1:9" x14ac:dyDescent="0.25">
      <c r="A399" s="28"/>
      <c r="B399" s="28" t="s">
        <v>85</v>
      </c>
      <c r="C399" s="28"/>
      <c r="D399" s="52">
        <f>D415+D428</f>
        <v>-296129</v>
      </c>
      <c r="E399" s="52">
        <f t="shared" ref="E399:F399" si="219">E415+E428</f>
        <v>-296129</v>
      </c>
      <c r="F399" s="52">
        <f t="shared" si="219"/>
        <v>-374848.5</v>
      </c>
      <c r="G399" s="52">
        <f t="shared" si="215"/>
        <v>-78719.5</v>
      </c>
      <c r="I399" s="2"/>
    </row>
    <row r="400" spans="1:9" x14ac:dyDescent="0.25">
      <c r="A400" s="51"/>
      <c r="B400" s="51" t="s">
        <v>93</v>
      </c>
      <c r="C400" s="51"/>
      <c r="D400" s="54">
        <f>SUM(D401:D404)</f>
        <v>-3072666</v>
      </c>
      <c r="E400" s="54">
        <f>SUM(E401:E404)</f>
        <v>-2405687.8899999997</v>
      </c>
      <c r="F400" s="54">
        <f>SUM(F401:F404)</f>
        <v>-1933591.0099999998</v>
      </c>
      <c r="G400" s="54">
        <f>F400-E400</f>
        <v>472096.87999999989</v>
      </c>
      <c r="I400" s="2"/>
    </row>
    <row r="401" spans="1:9" x14ac:dyDescent="0.25">
      <c r="A401" s="28"/>
      <c r="B401" s="28"/>
      <c r="C401" s="28" t="s">
        <v>89</v>
      </c>
      <c r="D401" s="52">
        <f t="shared" ref="D401:F402" si="220">D406+D412</f>
        <v>-982200</v>
      </c>
      <c r="E401" s="52">
        <f t="shared" si="220"/>
        <v>-1488340.09</v>
      </c>
      <c r="F401" s="52">
        <f t="shared" si="220"/>
        <v>-1396248.66</v>
      </c>
      <c r="G401" s="52">
        <f t="shared" ref="G401:G404" si="221">F401-E401</f>
        <v>92091.430000000168</v>
      </c>
      <c r="I401" s="2"/>
    </row>
    <row r="402" spans="1:9" x14ac:dyDescent="0.25">
      <c r="A402" s="28"/>
      <c r="B402" s="28"/>
      <c r="C402" s="28" t="s">
        <v>90</v>
      </c>
      <c r="D402" s="52">
        <f t="shared" si="220"/>
        <v>-576809</v>
      </c>
      <c r="E402" s="52">
        <f t="shared" si="220"/>
        <v>-909485.29</v>
      </c>
      <c r="F402" s="52">
        <f t="shared" si="220"/>
        <v>-531692.1399999999</v>
      </c>
      <c r="G402" s="52">
        <f t="shared" si="221"/>
        <v>377793.15000000014</v>
      </c>
      <c r="I402" s="2"/>
    </row>
    <row r="403" spans="1:9" x14ac:dyDescent="0.25">
      <c r="A403" s="28"/>
      <c r="B403" s="28"/>
      <c r="C403" s="28" t="s">
        <v>100</v>
      </c>
      <c r="D403" s="52">
        <f>D408+D414</f>
        <v>-1512088</v>
      </c>
      <c r="E403" s="52">
        <f t="shared" ref="E403:F403" si="222">E408+E414</f>
        <v>-6293.51</v>
      </c>
      <c r="F403" s="52">
        <f t="shared" si="222"/>
        <v>-4950.78</v>
      </c>
      <c r="G403" s="52">
        <f t="shared" si="221"/>
        <v>1342.7300000000005</v>
      </c>
      <c r="I403" s="2"/>
    </row>
    <row r="404" spans="1:9" x14ac:dyDescent="0.25">
      <c r="A404" s="28"/>
      <c r="B404" s="28"/>
      <c r="C404" s="28" t="s">
        <v>91</v>
      </c>
      <c r="D404" s="52">
        <f>D415+D410</f>
        <v>-1569</v>
      </c>
      <c r="E404" s="52">
        <f>E415+E410</f>
        <v>-1569</v>
      </c>
      <c r="F404" s="52">
        <f>F415+F410</f>
        <v>-699.43</v>
      </c>
      <c r="G404" s="52">
        <f t="shared" si="221"/>
        <v>869.57</v>
      </c>
      <c r="I404" s="2"/>
    </row>
    <row r="405" spans="1:9" x14ac:dyDescent="0.25">
      <c r="A405" s="51"/>
      <c r="B405" s="51"/>
      <c r="C405" s="51" t="s">
        <v>79</v>
      </c>
      <c r="D405" s="54">
        <f>SUM(D406:D408)</f>
        <v>-1563750</v>
      </c>
      <c r="E405" s="54">
        <f>SUM(E406:E408)</f>
        <v>-1575345.69</v>
      </c>
      <c r="F405" s="54">
        <f>SUM(F406:F408)</f>
        <v>-1405551.54</v>
      </c>
      <c r="G405" s="54">
        <f>F405-E405</f>
        <v>169794.14999999991</v>
      </c>
      <c r="I405" s="2"/>
    </row>
    <row r="406" spans="1:9" x14ac:dyDescent="0.25">
      <c r="A406" s="28"/>
      <c r="B406" s="28"/>
      <c r="C406" s="28" t="s">
        <v>89</v>
      </c>
      <c r="D406" s="52">
        <v>-982200</v>
      </c>
      <c r="E406" s="52">
        <f>D406-223669.5</f>
        <v>-1205869.5</v>
      </c>
      <c r="F406" s="52">
        <v>-1138399.97</v>
      </c>
      <c r="G406" s="52">
        <f t="shared" ref="G406:G410" si="223">F406-E406</f>
        <v>67469.530000000028</v>
      </c>
      <c r="I406" s="2"/>
    </row>
    <row r="407" spans="1:9" x14ac:dyDescent="0.25">
      <c r="A407" s="28"/>
      <c r="B407" s="28"/>
      <c r="C407" s="28" t="s">
        <v>90</v>
      </c>
      <c r="D407" s="52">
        <v>-576809</v>
      </c>
      <c r="E407" s="52">
        <f>D407+213626.32</f>
        <v>-363182.68</v>
      </c>
      <c r="F407" s="52">
        <v>-262200.78999999998</v>
      </c>
      <c r="G407" s="52">
        <f t="shared" si="223"/>
        <v>100981.89000000001</v>
      </c>
      <c r="I407" s="2"/>
    </row>
    <row r="408" spans="1:9" x14ac:dyDescent="0.25">
      <c r="A408" s="28"/>
      <c r="B408" s="28"/>
      <c r="C408" s="28" t="s">
        <v>100</v>
      </c>
      <c r="D408" s="52">
        <v>-4741</v>
      </c>
      <c r="E408" s="52">
        <f>D408-1552.51</f>
        <v>-6293.51</v>
      </c>
      <c r="F408" s="52">
        <v>-4950.78</v>
      </c>
      <c r="G408" s="52">
        <f t="shared" si="223"/>
        <v>1342.7300000000005</v>
      </c>
      <c r="I408" s="2"/>
    </row>
    <row r="409" spans="1:9" x14ac:dyDescent="0.25">
      <c r="A409" s="28"/>
      <c r="B409" s="28"/>
      <c r="C409" s="51" t="s">
        <v>80</v>
      </c>
      <c r="D409" s="52">
        <f>D410</f>
        <v>0</v>
      </c>
      <c r="E409" s="52">
        <f>E410</f>
        <v>0</v>
      </c>
      <c r="F409" s="52">
        <f>F410</f>
        <v>4.59</v>
      </c>
      <c r="G409" s="52">
        <f t="shared" si="223"/>
        <v>4.59</v>
      </c>
      <c r="I409" s="2"/>
    </row>
    <row r="410" spans="1:9" x14ac:dyDescent="0.25">
      <c r="A410" s="28"/>
      <c r="B410" s="28"/>
      <c r="C410" s="28" t="s">
        <v>95</v>
      </c>
      <c r="D410" s="53">
        <v>0</v>
      </c>
      <c r="E410" s="53">
        <v>0</v>
      </c>
      <c r="F410" s="52">
        <v>4.59</v>
      </c>
      <c r="G410" s="53">
        <f t="shared" si="223"/>
        <v>4.59</v>
      </c>
      <c r="I410" s="2"/>
    </row>
    <row r="411" spans="1:9" s="14" customFormat="1" x14ac:dyDescent="0.25">
      <c r="A411" s="51"/>
      <c r="B411" s="51"/>
      <c r="C411" s="51" t="s">
        <v>81</v>
      </c>
      <c r="D411" s="55">
        <f>SUM(D412:D414)</f>
        <v>-1507347</v>
      </c>
      <c r="E411" s="55">
        <f>SUM(E412:E414)</f>
        <v>-828773.2</v>
      </c>
      <c r="F411" s="54">
        <f>SUM(F412:F414)</f>
        <v>-527340.04</v>
      </c>
      <c r="G411" s="55">
        <f>F411-E411</f>
        <v>301433.15999999992</v>
      </c>
      <c r="H411" s="9"/>
      <c r="I411" s="2"/>
    </row>
    <row r="412" spans="1:9" s="14" customFormat="1" x14ac:dyDescent="0.25">
      <c r="A412" s="51"/>
      <c r="B412" s="51"/>
      <c r="C412" s="28" t="s">
        <v>89</v>
      </c>
      <c r="D412" s="53">
        <v>0</v>
      </c>
      <c r="E412" s="53">
        <v>-282470.59000000003</v>
      </c>
      <c r="F412" s="52">
        <v>-257848.69</v>
      </c>
      <c r="G412" s="53">
        <f t="shared" ref="G412:G413" si="224">F412-E412</f>
        <v>24621.900000000023</v>
      </c>
      <c r="H412" s="9"/>
      <c r="I412" s="2"/>
    </row>
    <row r="413" spans="1:9" s="14" customFormat="1" x14ac:dyDescent="0.25">
      <c r="A413" s="51"/>
      <c r="B413" s="51"/>
      <c r="C413" s="28" t="s">
        <v>90</v>
      </c>
      <c r="D413" s="53">
        <v>0</v>
      </c>
      <c r="E413" s="53">
        <v>-546302.61</v>
      </c>
      <c r="F413" s="52">
        <v>-269491.34999999998</v>
      </c>
      <c r="G413" s="53">
        <f t="shared" si="224"/>
        <v>276811.26</v>
      </c>
      <c r="H413" s="9"/>
      <c r="I413" s="2"/>
    </row>
    <row r="414" spans="1:9" x14ac:dyDescent="0.25">
      <c r="A414" s="28"/>
      <c r="B414" s="28"/>
      <c r="C414" s="28" t="s">
        <v>100</v>
      </c>
      <c r="D414" s="53">
        <v>-1507347</v>
      </c>
      <c r="E414" s="53">
        <f>D414+1507347</f>
        <v>0</v>
      </c>
      <c r="F414" s="52">
        <v>0</v>
      </c>
      <c r="G414" s="53">
        <f t="shared" ref="G414:G415" si="225">F414-E414</f>
        <v>0</v>
      </c>
      <c r="I414" s="2"/>
    </row>
    <row r="415" spans="1:9" s="14" customFormat="1" x14ac:dyDescent="0.25">
      <c r="A415" s="51"/>
      <c r="B415" s="51"/>
      <c r="C415" s="51" t="s">
        <v>85</v>
      </c>
      <c r="D415" s="55">
        <v>-1569</v>
      </c>
      <c r="E415" s="55">
        <f t="shared" ref="E415" si="226">D415</f>
        <v>-1569</v>
      </c>
      <c r="F415" s="54">
        <v>-704.02</v>
      </c>
      <c r="G415" s="55">
        <f t="shared" si="225"/>
        <v>864.98</v>
      </c>
      <c r="H415" s="9"/>
      <c r="I415" s="2"/>
    </row>
    <row r="416" spans="1:9" x14ac:dyDescent="0.25">
      <c r="A416" s="51"/>
      <c r="B416" s="51" t="s">
        <v>88</v>
      </c>
      <c r="C416" s="51"/>
      <c r="D416" s="54">
        <f>SUM(D417:D419)</f>
        <v>-1023408</v>
      </c>
      <c r="E416" s="54">
        <f>SUM(E417:E419)</f>
        <v>-1127992.52</v>
      </c>
      <c r="F416" s="54">
        <f>SUM(F417:F419)</f>
        <v>-1179690.26</v>
      </c>
      <c r="G416" s="54">
        <f>F416-E416</f>
        <v>-51697.739999999991</v>
      </c>
      <c r="I416" s="2"/>
    </row>
    <row r="417" spans="1:9" x14ac:dyDescent="0.25">
      <c r="A417" s="28"/>
      <c r="B417" s="28"/>
      <c r="C417" s="28" t="s">
        <v>89</v>
      </c>
      <c r="D417" s="52">
        <f>D421+D426</f>
        <v>-357330</v>
      </c>
      <c r="E417" s="52">
        <f>E421+E426</f>
        <v>-454100.42000000004</v>
      </c>
      <c r="F417" s="52">
        <f>F421+F426</f>
        <v>-433650.28</v>
      </c>
      <c r="G417" s="52">
        <f t="shared" ref="G417:G419" si="227">F417-E417</f>
        <v>20450.140000000014</v>
      </c>
      <c r="I417" s="2"/>
    </row>
    <row r="418" spans="1:9" x14ac:dyDescent="0.25">
      <c r="A418" s="28"/>
      <c r="B418" s="28"/>
      <c r="C418" s="28" t="s">
        <v>90</v>
      </c>
      <c r="D418" s="52">
        <f>D422+D427</f>
        <v>-371518</v>
      </c>
      <c r="E418" s="52">
        <f t="shared" ref="E418:F418" si="228">E422+E427</f>
        <v>-379332.1</v>
      </c>
      <c r="F418" s="52">
        <f t="shared" si="228"/>
        <v>-371886.99</v>
      </c>
      <c r="G418" s="52">
        <f t="shared" si="227"/>
        <v>7445.109999999986</v>
      </c>
      <c r="I418" s="2"/>
    </row>
    <row r="419" spans="1:9" x14ac:dyDescent="0.25">
      <c r="A419" s="28"/>
      <c r="B419" s="28"/>
      <c r="C419" s="28" t="s">
        <v>91</v>
      </c>
      <c r="D419" s="52">
        <f>D428+D424</f>
        <v>-294560</v>
      </c>
      <c r="E419" s="52">
        <f>E428+E424</f>
        <v>-294560</v>
      </c>
      <c r="F419" s="52">
        <f>F428+F424</f>
        <v>-374152.99</v>
      </c>
      <c r="G419" s="52">
        <f t="shared" si="227"/>
        <v>-79592.989999999991</v>
      </c>
      <c r="I419" s="2"/>
    </row>
    <row r="420" spans="1:9" x14ac:dyDescent="0.25">
      <c r="A420" s="51"/>
      <c r="B420" s="51"/>
      <c r="C420" s="51" t="s">
        <v>79</v>
      </c>
      <c r="D420" s="54">
        <f>SUM(D421:D422)</f>
        <v>-605300</v>
      </c>
      <c r="E420" s="54">
        <f>SUM(E421:E422)</f>
        <v>-674374.69</v>
      </c>
      <c r="F420" s="54">
        <f>SUM(F421:F422)</f>
        <v>-657412.56000000006</v>
      </c>
      <c r="G420" s="54">
        <f>F420-E420</f>
        <v>16962.129999999888</v>
      </c>
      <c r="I420" s="2"/>
    </row>
    <row r="421" spans="1:9" x14ac:dyDescent="0.25">
      <c r="A421" s="28"/>
      <c r="B421" s="28"/>
      <c r="C421" s="28" t="s">
        <v>89</v>
      </c>
      <c r="D421" s="52">
        <v>-251163</v>
      </c>
      <c r="E421" s="52">
        <f>D421-53023.57</f>
        <v>-304186.57</v>
      </c>
      <c r="F421" s="52">
        <v>-294669.55</v>
      </c>
      <c r="G421" s="52">
        <f t="shared" ref="G421:G424" si="229">F421-E421</f>
        <v>9517.0200000000186</v>
      </c>
      <c r="I421" s="2"/>
    </row>
    <row r="422" spans="1:9" x14ac:dyDescent="0.25">
      <c r="A422" s="28"/>
      <c r="B422" s="28"/>
      <c r="C422" s="28" t="s">
        <v>90</v>
      </c>
      <c r="D422" s="52">
        <v>-354137</v>
      </c>
      <c r="E422" s="52">
        <f>D422-16051.12</f>
        <v>-370188.12</v>
      </c>
      <c r="F422" s="52">
        <v>-362743.01</v>
      </c>
      <c r="G422" s="52">
        <f t="shared" si="229"/>
        <v>7445.109999999986</v>
      </c>
      <c r="I422" s="2"/>
    </row>
    <row r="423" spans="1:9" x14ac:dyDescent="0.25">
      <c r="A423" s="28"/>
      <c r="B423" s="28"/>
      <c r="C423" s="59" t="s">
        <v>80</v>
      </c>
      <c r="D423" s="52">
        <f>D424</f>
        <v>0</v>
      </c>
      <c r="E423" s="52">
        <f>E424</f>
        <v>0</v>
      </c>
      <c r="F423" s="52">
        <f>F424</f>
        <v>-8.51</v>
      </c>
      <c r="G423" s="52">
        <f t="shared" si="229"/>
        <v>-8.51</v>
      </c>
      <c r="I423" s="2"/>
    </row>
    <row r="424" spans="1:9" x14ac:dyDescent="0.25">
      <c r="A424" s="28"/>
      <c r="B424" s="28"/>
      <c r="C424" s="56" t="s">
        <v>95</v>
      </c>
      <c r="D424" s="53">
        <v>0</v>
      </c>
      <c r="E424" s="53">
        <v>0</v>
      </c>
      <c r="F424" s="52">
        <v>-8.51</v>
      </c>
      <c r="G424" s="53">
        <f t="shared" si="229"/>
        <v>-8.51</v>
      </c>
      <c r="I424" s="2"/>
    </row>
    <row r="425" spans="1:9" s="14" customFormat="1" x14ac:dyDescent="0.25">
      <c r="A425" s="51"/>
      <c r="B425" s="51"/>
      <c r="C425" s="59" t="s">
        <v>81</v>
      </c>
      <c r="D425" s="55">
        <f>SUM(D426:D427)</f>
        <v>-123548</v>
      </c>
      <c r="E425" s="55">
        <f t="shared" ref="E425" si="230">SUM(E426:E427)</f>
        <v>-159057.83000000002</v>
      </c>
      <c r="F425" s="54">
        <f t="shared" ref="F425" si="231">SUM(F426:F427)</f>
        <v>-148124.71000000002</v>
      </c>
      <c r="G425" s="55">
        <f>F425-E425</f>
        <v>10933.119999999995</v>
      </c>
      <c r="H425" s="9"/>
      <c r="I425" s="2"/>
    </row>
    <row r="426" spans="1:9" x14ac:dyDescent="0.25">
      <c r="A426" s="28"/>
      <c r="B426" s="28"/>
      <c r="C426" s="56" t="s">
        <v>89</v>
      </c>
      <c r="D426" s="53">
        <v>-106167</v>
      </c>
      <c r="E426" s="53">
        <f>D426-43746.85</f>
        <v>-149913.85</v>
      </c>
      <c r="F426" s="52">
        <v>-138980.73000000001</v>
      </c>
      <c r="G426" s="53">
        <f t="shared" ref="G426:G434" si="232">F426-E426</f>
        <v>10933.119999999995</v>
      </c>
      <c r="I426" s="2"/>
    </row>
    <row r="427" spans="1:9" x14ac:dyDescent="0.25">
      <c r="A427" s="28"/>
      <c r="B427" s="28"/>
      <c r="C427" s="56" t="s">
        <v>90</v>
      </c>
      <c r="D427" s="53">
        <v>-17381</v>
      </c>
      <c r="E427" s="53">
        <f>D427+8237.02</f>
        <v>-9143.98</v>
      </c>
      <c r="F427" s="52">
        <v>-9143.98</v>
      </c>
      <c r="G427" s="53">
        <f t="shared" si="232"/>
        <v>0</v>
      </c>
      <c r="I427" s="2"/>
    </row>
    <row r="428" spans="1:9" s="14" customFormat="1" x14ac:dyDescent="0.25">
      <c r="A428" s="51"/>
      <c r="B428" s="51"/>
      <c r="C428" s="59" t="s">
        <v>85</v>
      </c>
      <c r="D428" s="55">
        <v>-294560</v>
      </c>
      <c r="E428" s="55">
        <f t="shared" ref="E428" si="233">D428</f>
        <v>-294560</v>
      </c>
      <c r="F428" s="54">
        <v>-374144.48</v>
      </c>
      <c r="G428" s="55">
        <f t="shared" si="232"/>
        <v>-79584.479999999981</v>
      </c>
      <c r="H428" s="9"/>
      <c r="I428" s="2"/>
    </row>
    <row r="429" spans="1:9" s="14" customFormat="1" ht="15.75" x14ac:dyDescent="0.25">
      <c r="A429" s="39" t="s">
        <v>125</v>
      </c>
      <c r="B429" s="51"/>
      <c r="C429" s="59"/>
      <c r="D429" s="55">
        <f>SUM(D430:D434)</f>
        <v>-7683678</v>
      </c>
      <c r="E429" s="55">
        <f>SUM(E430:E434)</f>
        <v>-4830032.3999999994</v>
      </c>
      <c r="F429" s="54">
        <f>SUM(F430:F434)</f>
        <v>-4067357.04</v>
      </c>
      <c r="G429" s="55">
        <f t="shared" si="232"/>
        <v>762675.3599999994</v>
      </c>
      <c r="H429" s="9"/>
      <c r="I429" s="2"/>
    </row>
    <row r="430" spans="1:9" x14ac:dyDescent="0.25">
      <c r="A430" s="28"/>
      <c r="B430" s="28" t="s">
        <v>79</v>
      </c>
      <c r="C430" s="28"/>
      <c r="D430" s="53">
        <f>D441+D458</f>
        <v>-3321486</v>
      </c>
      <c r="E430" s="53">
        <f t="shared" ref="E430:F430" si="234">E441+E458</f>
        <v>-2934156.9699999997</v>
      </c>
      <c r="F430" s="52">
        <f t="shared" si="234"/>
        <v>-2462814.1199999996</v>
      </c>
      <c r="G430" s="53">
        <f t="shared" si="232"/>
        <v>471342.85000000009</v>
      </c>
      <c r="I430" s="2"/>
    </row>
    <row r="431" spans="1:9" x14ac:dyDescent="0.25">
      <c r="A431" s="28"/>
      <c r="B431" s="28" t="s">
        <v>80</v>
      </c>
      <c r="C431" s="28"/>
      <c r="D431" s="52">
        <f>D446</f>
        <v>0</v>
      </c>
      <c r="E431" s="52">
        <f>E446</f>
        <v>0</v>
      </c>
      <c r="F431" s="52">
        <f>F445+F461</f>
        <v>-5.4300000000000006</v>
      </c>
      <c r="G431" s="52">
        <f t="shared" si="232"/>
        <v>-5.4300000000000006</v>
      </c>
      <c r="I431" s="2"/>
    </row>
    <row r="432" spans="1:9" x14ac:dyDescent="0.25">
      <c r="A432" s="28"/>
      <c r="B432" s="28" t="s">
        <v>81</v>
      </c>
      <c r="C432" s="28"/>
      <c r="D432" s="52">
        <f>D447+D463</f>
        <v>-4302408</v>
      </c>
      <c r="E432" s="52">
        <f t="shared" ref="E432:F432" si="235">E447+E463</f>
        <v>-1789802.9799999997</v>
      </c>
      <c r="F432" s="52">
        <f t="shared" si="235"/>
        <v>-1444164.4100000001</v>
      </c>
      <c r="G432" s="52">
        <f t="shared" si="232"/>
        <v>345638.5699999996</v>
      </c>
      <c r="I432" s="2"/>
    </row>
    <row r="433" spans="1:9" x14ac:dyDescent="0.25">
      <c r="A433" s="28"/>
      <c r="B433" s="28" t="s">
        <v>82</v>
      </c>
      <c r="C433" s="28"/>
      <c r="D433" s="52">
        <f>D466+D452</f>
        <v>-18076</v>
      </c>
      <c r="E433" s="52">
        <f>E466+E452</f>
        <v>-64364.450000000004</v>
      </c>
      <c r="F433" s="52">
        <f>F466+E452</f>
        <v>-57822.360000000008</v>
      </c>
      <c r="G433" s="52">
        <f t="shared" ref="G433" si="236">F433-E433</f>
        <v>6542.0899999999965</v>
      </c>
      <c r="I433" s="2"/>
    </row>
    <row r="434" spans="1:9" x14ac:dyDescent="0.25">
      <c r="A434" s="28"/>
      <c r="B434" s="28" t="s">
        <v>85</v>
      </c>
      <c r="C434" s="28"/>
      <c r="D434" s="52">
        <f>D469+D461</f>
        <v>-41708</v>
      </c>
      <c r="E434" s="52">
        <f>E469+E461</f>
        <v>-41708</v>
      </c>
      <c r="F434" s="52">
        <f>F469+F461</f>
        <v>-102550.72</v>
      </c>
      <c r="G434" s="52">
        <f t="shared" si="232"/>
        <v>-60842.720000000001</v>
      </c>
      <c r="I434" s="2"/>
    </row>
    <row r="435" spans="1:9" x14ac:dyDescent="0.25">
      <c r="A435" s="51"/>
      <c r="B435" s="51" t="s">
        <v>99</v>
      </c>
      <c r="C435" s="51"/>
      <c r="D435" s="54">
        <f>SUM(D436:D439)</f>
        <v>-7439793</v>
      </c>
      <c r="E435" s="54">
        <f>SUM(E436:E439)</f>
        <v>-4530159.34</v>
      </c>
      <c r="F435" s="54">
        <f>SUM(F436:F440)</f>
        <v>-3743870.69</v>
      </c>
      <c r="G435" s="54">
        <f>F435-E435</f>
        <v>786288.64999999991</v>
      </c>
      <c r="I435" s="2"/>
    </row>
    <row r="436" spans="1:9" x14ac:dyDescent="0.25">
      <c r="A436" s="28"/>
      <c r="B436" s="28"/>
      <c r="C436" s="28" t="s">
        <v>89</v>
      </c>
      <c r="D436" s="52">
        <f>D442+D448</f>
        <v>-1687361</v>
      </c>
      <c r="E436" s="52">
        <f>E442+E448+E453</f>
        <v>-2500700.2799999998</v>
      </c>
      <c r="F436" s="52">
        <f>F442+F448+F453</f>
        <v>-1998777.23</v>
      </c>
      <c r="G436" s="52">
        <f t="shared" ref="G436:G440" si="237">F436-E436</f>
        <v>501923.04999999981</v>
      </c>
      <c r="I436" s="2"/>
    </row>
    <row r="437" spans="1:9" x14ac:dyDescent="0.25">
      <c r="A437" s="28"/>
      <c r="B437" s="28"/>
      <c r="C437" s="28" t="s">
        <v>90</v>
      </c>
      <c r="D437" s="52">
        <f>D443+D449</f>
        <v>-2565525</v>
      </c>
      <c r="E437" s="52">
        <f t="shared" ref="E437:F437" si="238">E443+E449</f>
        <v>-1180878.3199999998</v>
      </c>
      <c r="F437" s="52">
        <f t="shared" si="238"/>
        <v>-911601.82000000007</v>
      </c>
      <c r="G437" s="52">
        <f t="shared" si="237"/>
        <v>269276.49999999977</v>
      </c>
      <c r="I437" s="2"/>
    </row>
    <row r="438" spans="1:9" x14ac:dyDescent="0.25">
      <c r="A438" s="28"/>
      <c r="B438" s="28"/>
      <c r="C438" s="28" t="s">
        <v>111</v>
      </c>
      <c r="D438" s="52">
        <f>D450</f>
        <v>-282858</v>
      </c>
      <c r="E438" s="52">
        <f t="shared" ref="E438:F438" si="239">E450</f>
        <v>0</v>
      </c>
      <c r="F438" s="52">
        <f t="shared" si="239"/>
        <v>0</v>
      </c>
      <c r="G438" s="52">
        <f t="shared" ref="G438" si="240">F438-E438</f>
        <v>0</v>
      </c>
      <c r="I438" s="2"/>
    </row>
    <row r="439" spans="1:9" x14ac:dyDescent="0.25">
      <c r="A439" s="28"/>
      <c r="B439" s="28"/>
      <c r="C439" s="28" t="s">
        <v>100</v>
      </c>
      <c r="D439" s="52">
        <f>D444+D451</f>
        <v>-2904049</v>
      </c>
      <c r="E439" s="52">
        <f>E444+E451</f>
        <v>-848580.73999999987</v>
      </c>
      <c r="F439" s="52">
        <f>F444+F451</f>
        <v>-833486.21</v>
      </c>
      <c r="G439" s="52">
        <f t="shared" si="237"/>
        <v>15094.529999999912</v>
      </c>
      <c r="I439" s="2"/>
    </row>
    <row r="440" spans="1:9" x14ac:dyDescent="0.25">
      <c r="A440" s="28"/>
      <c r="B440" s="28"/>
      <c r="C440" s="28" t="s">
        <v>95</v>
      </c>
      <c r="D440" s="52">
        <f>D446</f>
        <v>0</v>
      </c>
      <c r="E440" s="52">
        <f>E446</f>
        <v>0</v>
      </c>
      <c r="F440" s="52">
        <f>F446+F462</f>
        <v>-5.4300000000000006</v>
      </c>
      <c r="G440" s="52">
        <f t="shared" si="237"/>
        <v>-5.4300000000000006</v>
      </c>
      <c r="I440" s="2"/>
    </row>
    <row r="441" spans="1:9" x14ac:dyDescent="0.25">
      <c r="A441" s="51"/>
      <c r="B441" s="51"/>
      <c r="C441" s="51" t="s">
        <v>79</v>
      </c>
      <c r="D441" s="54">
        <f>SUM(D442:D444)</f>
        <v>-3209688</v>
      </c>
      <c r="E441" s="54">
        <f>SUM(E442:E444)</f>
        <v>-2842059.42</v>
      </c>
      <c r="F441" s="54">
        <f>SUM(F442:F444)</f>
        <v>-2390973.59</v>
      </c>
      <c r="G441" s="54">
        <f>F441-E441</f>
        <v>451085.83000000007</v>
      </c>
      <c r="I441" s="2"/>
    </row>
    <row r="442" spans="1:9" x14ac:dyDescent="0.25">
      <c r="A442" s="28"/>
      <c r="B442" s="28"/>
      <c r="C442" s="28" t="s">
        <v>89</v>
      </c>
      <c r="D442" s="52">
        <v>-1643204</v>
      </c>
      <c r="E442" s="52">
        <f>D442-185602.9</f>
        <v>-1828806.9</v>
      </c>
      <c r="F442" s="52">
        <v>-1460832.97</v>
      </c>
      <c r="G442" s="52">
        <f t="shared" ref="G442:G446" si="241">F442-E442</f>
        <v>367973.92999999993</v>
      </c>
      <c r="I442" s="2"/>
    </row>
    <row r="443" spans="1:9" x14ac:dyDescent="0.25">
      <c r="A443" s="28"/>
      <c r="B443" s="28"/>
      <c r="C443" s="28" t="s">
        <v>90</v>
      </c>
      <c r="D443" s="52">
        <v>-765185</v>
      </c>
      <c r="E443" s="52">
        <f>D443+410563.03+28100.01</f>
        <v>-326521.95999999996</v>
      </c>
      <c r="F443" s="52">
        <v>-251562.78</v>
      </c>
      <c r="G443" s="52">
        <f t="shared" si="241"/>
        <v>74959.179999999964</v>
      </c>
      <c r="I443" s="2"/>
    </row>
    <row r="444" spans="1:9" x14ac:dyDescent="0.25">
      <c r="A444" s="28"/>
      <c r="B444" s="28"/>
      <c r="C444" s="28" t="s">
        <v>100</v>
      </c>
      <c r="D444" s="52">
        <v>-801299</v>
      </c>
      <c r="E444" s="52">
        <f>D444+142668.14-28099.7</f>
        <v>-686730.55999999994</v>
      </c>
      <c r="F444" s="52">
        <v>-678577.84</v>
      </c>
      <c r="G444" s="53">
        <f t="shared" si="241"/>
        <v>8152.7199999999721</v>
      </c>
      <c r="I444" s="2"/>
    </row>
    <row r="445" spans="1:9" x14ac:dyDescent="0.25">
      <c r="A445" s="28"/>
      <c r="B445" s="28"/>
      <c r="C445" s="51" t="s">
        <v>80</v>
      </c>
      <c r="D445" s="54">
        <f>D446</f>
        <v>0</v>
      </c>
      <c r="E445" s="54">
        <f>E446</f>
        <v>0</v>
      </c>
      <c r="F445" s="54">
        <f>F446</f>
        <v>-4.6100000000000003</v>
      </c>
      <c r="G445" s="54">
        <f t="shared" si="241"/>
        <v>-4.6100000000000003</v>
      </c>
      <c r="I445" s="2"/>
    </row>
    <row r="446" spans="1:9" x14ac:dyDescent="0.25">
      <c r="A446" s="28"/>
      <c r="B446" s="28"/>
      <c r="C446" s="28" t="s">
        <v>95</v>
      </c>
      <c r="D446" s="52">
        <v>0</v>
      </c>
      <c r="E446" s="52">
        <v>0</v>
      </c>
      <c r="F446" s="52">
        <v>-4.6100000000000003</v>
      </c>
      <c r="G446" s="52">
        <f t="shared" si="241"/>
        <v>-4.6100000000000003</v>
      </c>
      <c r="I446" s="2"/>
    </row>
    <row r="447" spans="1:9" s="14" customFormat="1" x14ac:dyDescent="0.25">
      <c r="A447" s="51"/>
      <c r="B447" s="51"/>
      <c r="C447" s="51" t="s">
        <v>81</v>
      </c>
      <c r="D447" s="54">
        <f>SUM(D448:D451)</f>
        <v>-4230105</v>
      </c>
      <c r="E447" s="54">
        <f t="shared" ref="E447:F447" si="242">SUM(E448:E451)</f>
        <v>-1687515.2699999998</v>
      </c>
      <c r="F447" s="54">
        <f t="shared" si="242"/>
        <v>-1352307.02</v>
      </c>
      <c r="G447" s="54">
        <f>F447-E447</f>
        <v>335208.24999999977</v>
      </c>
      <c r="H447" s="9"/>
      <c r="I447" s="2"/>
    </row>
    <row r="448" spans="1:9" x14ac:dyDescent="0.25">
      <c r="A448" s="28"/>
      <c r="B448" s="28"/>
      <c r="C448" s="28" t="s">
        <v>89</v>
      </c>
      <c r="D448" s="52">
        <v>-44157</v>
      </c>
      <c r="E448" s="52">
        <f>D448-627151.73</f>
        <v>-671308.73</v>
      </c>
      <c r="F448" s="52">
        <v>-537359.61</v>
      </c>
      <c r="G448" s="52">
        <f t="shared" ref="G448:G450" si="243">F448-E448</f>
        <v>133949.12</v>
      </c>
      <c r="I448" s="2"/>
    </row>
    <row r="449" spans="1:9" x14ac:dyDescent="0.25">
      <c r="A449" s="28"/>
      <c r="B449" s="28"/>
      <c r="C449" s="28" t="s">
        <v>90</v>
      </c>
      <c r="D449" s="52">
        <v>-1800340</v>
      </c>
      <c r="E449" s="52">
        <f>D449+945983.64</f>
        <v>-854356.36</v>
      </c>
      <c r="F449" s="52">
        <v>-660039.04</v>
      </c>
      <c r="G449" s="52">
        <f t="shared" si="243"/>
        <v>194317.31999999995</v>
      </c>
      <c r="I449" s="2"/>
    </row>
    <row r="450" spans="1:9" x14ac:dyDescent="0.25">
      <c r="A450" s="28"/>
      <c r="B450" s="28"/>
      <c r="C450" s="28" t="s">
        <v>111</v>
      </c>
      <c r="D450" s="52">
        <v>-282858</v>
      </c>
      <c r="E450" s="52">
        <f>D450+282858</f>
        <v>0</v>
      </c>
      <c r="F450" s="52">
        <v>0</v>
      </c>
      <c r="G450" s="52">
        <f t="shared" si="243"/>
        <v>0</v>
      </c>
      <c r="I450" s="2"/>
    </row>
    <row r="451" spans="1:9" x14ac:dyDescent="0.25">
      <c r="A451" s="28"/>
      <c r="B451" s="28"/>
      <c r="C451" s="28" t="s">
        <v>100</v>
      </c>
      <c r="D451" s="52">
        <f>-31429-2244179-110000+282858</f>
        <v>-2102750</v>
      </c>
      <c r="E451" s="52">
        <f>D451+1940899.82</f>
        <v>-161850.17999999993</v>
      </c>
      <c r="F451" s="52">
        <v>-154908.37</v>
      </c>
      <c r="G451" s="52">
        <f t="shared" ref="G451:G453" si="244">F451-E451</f>
        <v>6941.8099999999395</v>
      </c>
      <c r="I451" s="2"/>
    </row>
    <row r="452" spans="1:9" x14ac:dyDescent="0.25">
      <c r="A452" s="28"/>
      <c r="B452" s="28"/>
      <c r="C452" s="51" t="s">
        <v>82</v>
      </c>
      <c r="D452" s="52">
        <f>D453</f>
        <v>0</v>
      </c>
      <c r="E452" s="52">
        <f>E453</f>
        <v>-584.65</v>
      </c>
      <c r="F452" s="52">
        <f>F453</f>
        <v>-584.65</v>
      </c>
      <c r="G452" s="52">
        <f t="shared" si="244"/>
        <v>0</v>
      </c>
      <c r="I452" s="2"/>
    </row>
    <row r="453" spans="1:9" x14ac:dyDescent="0.25">
      <c r="A453" s="28"/>
      <c r="B453" s="28"/>
      <c r="C453" s="28" t="s">
        <v>89</v>
      </c>
      <c r="D453" s="52">
        <v>0</v>
      </c>
      <c r="E453" s="52">
        <v>-584.65</v>
      </c>
      <c r="F453" s="52">
        <v>-584.65</v>
      </c>
      <c r="G453" s="52">
        <f t="shared" si="244"/>
        <v>0</v>
      </c>
      <c r="I453" s="2"/>
    </row>
    <row r="454" spans="1:9" x14ac:dyDescent="0.25">
      <c r="A454" s="51"/>
      <c r="B454" s="51" t="s">
        <v>88</v>
      </c>
      <c r="C454" s="51"/>
      <c r="D454" s="54">
        <f>SUM(D455:D457)</f>
        <v>-243885</v>
      </c>
      <c r="E454" s="54">
        <f>SUM(E455:E457)</f>
        <v>-299873.06</v>
      </c>
      <c r="F454" s="54">
        <f>SUM(F455:F457)</f>
        <v>-323486.34999999998</v>
      </c>
      <c r="G454" s="54">
        <f>F454-E454</f>
        <v>-23613.289999999979</v>
      </c>
      <c r="I454" s="2"/>
    </row>
    <row r="455" spans="1:9" x14ac:dyDescent="0.25">
      <c r="A455" s="28"/>
      <c r="B455" s="28"/>
      <c r="C455" s="28" t="s">
        <v>89</v>
      </c>
      <c r="D455" s="52">
        <f>D459+D464+D467</f>
        <v>-153197</v>
      </c>
      <c r="E455" s="52">
        <f t="shared" ref="E455:F455" si="245">E459+E464+E467</f>
        <v>-145441.12</v>
      </c>
      <c r="F455" s="52">
        <f t="shared" si="245"/>
        <v>-132283.94</v>
      </c>
      <c r="G455" s="52">
        <f t="shared" ref="G455:G457" si="246">F455-E455</f>
        <v>13157.179999999993</v>
      </c>
      <c r="I455" s="2"/>
    </row>
    <row r="456" spans="1:9" x14ac:dyDescent="0.25">
      <c r="A456" s="28"/>
      <c r="B456" s="28"/>
      <c r="C456" s="28" t="s">
        <v>90</v>
      </c>
      <c r="D456" s="52">
        <f>D460+D465+D468</f>
        <v>-48980</v>
      </c>
      <c r="E456" s="52">
        <f t="shared" ref="E456:F456" si="247">E460+E465+E468</f>
        <v>-112723.93999999999</v>
      </c>
      <c r="F456" s="52">
        <f t="shared" si="247"/>
        <v>-88651.69</v>
      </c>
      <c r="G456" s="52">
        <f t="shared" si="246"/>
        <v>24072.249999999985</v>
      </c>
      <c r="I456" s="2"/>
    </row>
    <row r="457" spans="1:9" x14ac:dyDescent="0.25">
      <c r="A457" s="28"/>
      <c r="B457" s="28"/>
      <c r="C457" s="28" t="s">
        <v>91</v>
      </c>
      <c r="D457" s="52">
        <f>D469+D461</f>
        <v>-41708</v>
      </c>
      <c r="E457" s="52">
        <f>E469+E461</f>
        <v>-41708</v>
      </c>
      <c r="F457" s="52">
        <f>F469+F461</f>
        <v>-102550.72</v>
      </c>
      <c r="G457" s="52">
        <f t="shared" si="246"/>
        <v>-60842.720000000001</v>
      </c>
      <c r="I457" s="2"/>
    </row>
    <row r="458" spans="1:9" x14ac:dyDescent="0.25">
      <c r="A458" s="51"/>
      <c r="B458" s="51"/>
      <c r="C458" s="51" t="s">
        <v>79</v>
      </c>
      <c r="D458" s="54">
        <f>SUM(D459:D460)</f>
        <v>-111798</v>
      </c>
      <c r="E458" s="54">
        <f>SUM(E459:E460)</f>
        <v>-92097.55</v>
      </c>
      <c r="F458" s="54">
        <f>SUM(F459:F460)</f>
        <v>-71840.53</v>
      </c>
      <c r="G458" s="54">
        <f>F458-E458</f>
        <v>20257.020000000004</v>
      </c>
      <c r="I458" s="2"/>
    </row>
    <row r="459" spans="1:9" x14ac:dyDescent="0.25">
      <c r="A459" s="28"/>
      <c r="B459" s="28"/>
      <c r="C459" s="28" t="s">
        <v>89</v>
      </c>
      <c r="D459" s="52">
        <v>-77922</v>
      </c>
      <c r="E459" s="52">
        <f>D459+20122.98</f>
        <v>-57799.020000000004</v>
      </c>
      <c r="F459" s="52">
        <v>-53940.27</v>
      </c>
      <c r="G459" s="52">
        <f t="shared" ref="G459:G462" si="248">F459-E459</f>
        <v>3858.7500000000073</v>
      </c>
      <c r="I459" s="2"/>
    </row>
    <row r="460" spans="1:9" x14ac:dyDescent="0.25">
      <c r="A460" s="28"/>
      <c r="B460" s="28"/>
      <c r="C460" s="28" t="s">
        <v>90</v>
      </c>
      <c r="D460" s="52">
        <v>-33876</v>
      </c>
      <c r="E460" s="52">
        <f>D460-422.53</f>
        <v>-34298.53</v>
      </c>
      <c r="F460" s="52">
        <v>-17900.259999999998</v>
      </c>
      <c r="G460" s="52">
        <f t="shared" si="248"/>
        <v>16398.27</v>
      </c>
      <c r="I460" s="2"/>
    </row>
    <row r="461" spans="1:9" x14ac:dyDescent="0.25">
      <c r="A461" s="28"/>
      <c r="B461" s="28"/>
      <c r="C461" s="51" t="s">
        <v>80</v>
      </c>
      <c r="D461" s="52">
        <f>D462</f>
        <v>0</v>
      </c>
      <c r="E461" s="52">
        <f>E462</f>
        <v>0</v>
      </c>
      <c r="F461" s="52">
        <f>F462</f>
        <v>-0.82</v>
      </c>
      <c r="G461" s="52">
        <f t="shared" si="248"/>
        <v>-0.82</v>
      </c>
      <c r="I461" s="2"/>
    </row>
    <row r="462" spans="1:9" x14ac:dyDescent="0.25">
      <c r="A462" s="28"/>
      <c r="B462" s="28"/>
      <c r="C462" s="28" t="s">
        <v>95</v>
      </c>
      <c r="D462" s="52">
        <v>0</v>
      </c>
      <c r="E462" s="52">
        <v>0</v>
      </c>
      <c r="F462" s="52">
        <v>-0.82</v>
      </c>
      <c r="G462" s="52">
        <f t="shared" si="248"/>
        <v>-0.82</v>
      </c>
      <c r="I462" s="2"/>
    </row>
    <row r="463" spans="1:9" s="14" customFormat="1" x14ac:dyDescent="0.25">
      <c r="A463" s="51"/>
      <c r="B463" s="51"/>
      <c r="C463" s="51" t="s">
        <v>81</v>
      </c>
      <c r="D463" s="54">
        <f>SUM(D464:D465)</f>
        <v>-72303</v>
      </c>
      <c r="E463" s="54">
        <f t="shared" ref="E463" si="249">SUM(E464:E465)</f>
        <v>-102287.70999999999</v>
      </c>
      <c r="F463" s="54">
        <f t="shared" ref="F463" si="250">SUM(F464:F465)</f>
        <v>-91857.390000000014</v>
      </c>
      <c r="G463" s="54">
        <f>F463-E463</f>
        <v>10430.319999999978</v>
      </c>
      <c r="H463" s="9"/>
      <c r="I463" s="2"/>
    </row>
    <row r="464" spans="1:9" x14ac:dyDescent="0.25">
      <c r="A464" s="28"/>
      <c r="B464" s="28"/>
      <c r="C464" s="28" t="s">
        <v>89</v>
      </c>
      <c r="D464" s="52">
        <v>-60220</v>
      </c>
      <c r="E464" s="52">
        <f>D464+9059.69</f>
        <v>-51160.31</v>
      </c>
      <c r="F464" s="52">
        <v>-41865.480000000003</v>
      </c>
      <c r="G464" s="52">
        <f t="shared" ref="G464:G475" si="251">F464-E464</f>
        <v>9294.8299999999945</v>
      </c>
      <c r="I464" s="2"/>
    </row>
    <row r="465" spans="1:9" x14ac:dyDescent="0.25">
      <c r="A465" s="28"/>
      <c r="B465" s="28"/>
      <c r="C465" s="28" t="s">
        <v>90</v>
      </c>
      <c r="D465" s="52">
        <v>-12083</v>
      </c>
      <c r="E465" s="52">
        <f>D465-39044.4</f>
        <v>-51127.4</v>
      </c>
      <c r="F465" s="52">
        <v>-49991.91</v>
      </c>
      <c r="G465" s="52">
        <f t="shared" si="251"/>
        <v>1135.489999999998</v>
      </c>
      <c r="I465" s="2"/>
    </row>
    <row r="466" spans="1:9" s="14" customFormat="1" x14ac:dyDescent="0.25">
      <c r="A466" s="51"/>
      <c r="B466" s="51"/>
      <c r="C466" s="51" t="s">
        <v>82</v>
      </c>
      <c r="D466" s="54">
        <f>SUM(D467:D468)</f>
        <v>-18076</v>
      </c>
      <c r="E466" s="54">
        <f t="shared" ref="E466" si="252">SUM(E467:E468)</f>
        <v>-63779.8</v>
      </c>
      <c r="F466" s="54">
        <f t="shared" ref="F466" si="253">SUM(F467:F468)</f>
        <v>-57237.710000000006</v>
      </c>
      <c r="G466" s="54">
        <f>F466-E466</f>
        <v>6542.0899999999965</v>
      </c>
      <c r="H466" s="9"/>
      <c r="I466" s="2"/>
    </row>
    <row r="467" spans="1:9" x14ac:dyDescent="0.25">
      <c r="A467" s="28"/>
      <c r="B467" s="28"/>
      <c r="C467" s="28" t="s">
        <v>89</v>
      </c>
      <c r="D467" s="52">
        <v>-15055</v>
      </c>
      <c r="E467" s="52">
        <f>D467-21426.79</f>
        <v>-36481.79</v>
      </c>
      <c r="F467" s="52">
        <v>-36478.19</v>
      </c>
      <c r="G467" s="52">
        <f t="shared" ref="G467:G468" si="254">F467-E467</f>
        <v>3.5999999999985448</v>
      </c>
      <c r="I467" s="2"/>
    </row>
    <row r="468" spans="1:9" x14ac:dyDescent="0.25">
      <c r="A468" s="28"/>
      <c r="B468" s="28"/>
      <c r="C468" s="28" t="s">
        <v>90</v>
      </c>
      <c r="D468" s="52">
        <v>-3021</v>
      </c>
      <c r="E468" s="52">
        <f>D468-24277.01</f>
        <v>-27298.01</v>
      </c>
      <c r="F468" s="52">
        <v>-20759.52</v>
      </c>
      <c r="G468" s="52">
        <f t="shared" si="254"/>
        <v>6538.489999999998</v>
      </c>
      <c r="I468" s="2"/>
    </row>
    <row r="469" spans="1:9" s="14" customFormat="1" x14ac:dyDescent="0.25">
      <c r="A469" s="51"/>
      <c r="B469" s="51"/>
      <c r="C469" s="51" t="s">
        <v>85</v>
      </c>
      <c r="D469" s="54">
        <v>-41708</v>
      </c>
      <c r="E469" s="54">
        <f t="shared" ref="E469" si="255">D469</f>
        <v>-41708</v>
      </c>
      <c r="F469" s="54">
        <v>-102549.9</v>
      </c>
      <c r="G469" s="54">
        <f t="shared" si="251"/>
        <v>-60841.899999999994</v>
      </c>
      <c r="H469" s="9"/>
      <c r="I469" s="2"/>
    </row>
    <row r="470" spans="1:9" s="14" customFormat="1" ht="15.75" x14ac:dyDescent="0.25">
      <c r="A470" s="39" t="s">
        <v>126</v>
      </c>
      <c r="B470" s="51"/>
      <c r="C470" s="51"/>
      <c r="D470" s="54">
        <f>SUM(D471:D475)</f>
        <v>-9079857</v>
      </c>
      <c r="E470" s="54">
        <f>SUM(E471:E475)</f>
        <v>-11971926.58</v>
      </c>
      <c r="F470" s="54">
        <f>SUM(F471:F475)</f>
        <v>-10160488.58</v>
      </c>
      <c r="G470" s="54">
        <f t="shared" si="251"/>
        <v>1811438</v>
      </c>
      <c r="H470" s="9"/>
      <c r="I470" s="2"/>
    </row>
    <row r="471" spans="1:9" x14ac:dyDescent="0.25">
      <c r="A471" s="28"/>
      <c r="B471" s="28" t="s">
        <v>79</v>
      </c>
      <c r="C471" s="28"/>
      <c r="D471" s="52">
        <f>D482+D503</f>
        <v>-6923409</v>
      </c>
      <c r="E471" s="52">
        <f t="shared" ref="E471:F471" si="256">E482+E503</f>
        <v>-8679289.2599999998</v>
      </c>
      <c r="F471" s="52">
        <f t="shared" si="256"/>
        <v>-7333551.7800000012</v>
      </c>
      <c r="G471" s="52">
        <f t="shared" si="251"/>
        <v>1345737.4799999986</v>
      </c>
      <c r="I471" s="2"/>
    </row>
    <row r="472" spans="1:9" x14ac:dyDescent="0.25">
      <c r="A472" s="28"/>
      <c r="B472" s="28" t="s">
        <v>80</v>
      </c>
      <c r="C472" s="28"/>
      <c r="D472" s="52">
        <f>D487</f>
        <v>-1256000</v>
      </c>
      <c r="E472" s="52">
        <f t="shared" ref="E472" si="257">E487</f>
        <v>-1256000</v>
      </c>
      <c r="F472" s="52">
        <f>F487+F507</f>
        <v>-1139825.8500000001</v>
      </c>
      <c r="G472" s="52">
        <f t="shared" si="251"/>
        <v>116174.14999999991</v>
      </c>
      <c r="I472" s="2"/>
    </row>
    <row r="473" spans="1:9" x14ac:dyDescent="0.25">
      <c r="A473" s="28"/>
      <c r="B473" s="28" t="s">
        <v>81</v>
      </c>
      <c r="C473" s="28"/>
      <c r="D473" s="52">
        <f>D492+D508</f>
        <v>-247183</v>
      </c>
      <c r="E473" s="52">
        <f t="shared" ref="E473:F473" si="258">E492+E508</f>
        <v>-1373279.0799999998</v>
      </c>
      <c r="F473" s="52">
        <f t="shared" si="258"/>
        <v>-891379.1100000001</v>
      </c>
      <c r="G473" s="52">
        <f t="shared" si="251"/>
        <v>481899.96999999974</v>
      </c>
      <c r="I473" s="2"/>
    </row>
    <row r="474" spans="1:9" x14ac:dyDescent="0.25">
      <c r="A474" s="28"/>
      <c r="B474" s="28" t="s">
        <v>82</v>
      </c>
      <c r="C474" s="28"/>
      <c r="D474" s="52">
        <f>D511</f>
        <v>-6</v>
      </c>
      <c r="E474" s="52">
        <f>E511+E496</f>
        <v>-10099.24</v>
      </c>
      <c r="F474" s="52">
        <f>F511+F496</f>
        <v>-10098.84</v>
      </c>
      <c r="G474" s="52">
        <f t="shared" si="251"/>
        <v>0.3999999999996362</v>
      </c>
      <c r="I474" s="2"/>
    </row>
    <row r="475" spans="1:9" x14ac:dyDescent="0.25">
      <c r="A475" s="28"/>
      <c r="B475" s="28" t="s">
        <v>85</v>
      </c>
      <c r="C475" s="28"/>
      <c r="D475" s="52">
        <f>D498+D513+D507</f>
        <v>-653259</v>
      </c>
      <c r="E475" s="52">
        <f>E498+E513+E507</f>
        <v>-653259</v>
      </c>
      <c r="F475" s="52">
        <f>F498+F513</f>
        <v>-785633</v>
      </c>
      <c r="G475" s="52">
        <f t="shared" si="251"/>
        <v>-132374</v>
      </c>
      <c r="I475" s="2"/>
    </row>
    <row r="476" spans="1:9" x14ac:dyDescent="0.25">
      <c r="A476" s="51"/>
      <c r="B476" s="51" t="s">
        <v>93</v>
      </c>
      <c r="C476" s="51"/>
      <c r="D476" s="54">
        <f>SUM(D477:D481)</f>
        <v>-6927697</v>
      </c>
      <c r="E476" s="54">
        <f t="shared" ref="E476:F476" si="259">SUM(E477:E481)</f>
        <v>-9517263.4800000004</v>
      </c>
      <c r="F476" s="54">
        <f t="shared" si="259"/>
        <v>-7787567.4699999997</v>
      </c>
      <c r="G476" s="54">
        <f>F476-E476</f>
        <v>1729696.0100000007</v>
      </c>
      <c r="I476" s="2"/>
    </row>
    <row r="477" spans="1:9" x14ac:dyDescent="0.25">
      <c r="A477" s="28"/>
      <c r="B477" s="28"/>
      <c r="C477" s="28" t="s">
        <v>89</v>
      </c>
      <c r="D477" s="52">
        <f>D483</f>
        <v>-2097326</v>
      </c>
      <c r="E477" s="52">
        <f>E483+E493</f>
        <v>-4672112.7</v>
      </c>
      <c r="F477" s="52">
        <f>F483+F493</f>
        <v>-4131313.9</v>
      </c>
      <c r="G477" s="52">
        <f t="shared" ref="G477:G480" si="260">F477-E477</f>
        <v>540798.80000000028</v>
      </c>
      <c r="I477" s="2"/>
    </row>
    <row r="478" spans="1:9" x14ac:dyDescent="0.25">
      <c r="A478" s="28"/>
      <c r="B478" s="28"/>
      <c r="C478" s="28" t="s">
        <v>90</v>
      </c>
      <c r="D478" s="52">
        <f>D484+D488+D497</f>
        <v>-3369139</v>
      </c>
      <c r="E478" s="52">
        <f>E484+E488+E494+E497</f>
        <v>-3469973.8000000003</v>
      </c>
      <c r="F478" s="52">
        <f>F484+F488+F494+F497</f>
        <v>-2467752.4499999997</v>
      </c>
      <c r="G478" s="52">
        <f t="shared" si="260"/>
        <v>1002221.3500000006</v>
      </c>
      <c r="I478" s="2"/>
    </row>
    <row r="479" spans="1:9" x14ac:dyDescent="0.25">
      <c r="A479" s="28"/>
      <c r="B479" s="28"/>
      <c r="C479" s="28" t="s">
        <v>94</v>
      </c>
      <c r="D479" s="52">
        <f>D485+D489</f>
        <v>-1416105</v>
      </c>
      <c r="E479" s="52">
        <f t="shared" ref="E479:F479" si="261">E485+E489</f>
        <v>-1369099.99</v>
      </c>
      <c r="F479" s="52">
        <f t="shared" si="261"/>
        <v>-1185081.94</v>
      </c>
      <c r="G479" s="52">
        <f t="shared" si="260"/>
        <v>184018.05000000005</v>
      </c>
      <c r="I479" s="2"/>
    </row>
    <row r="480" spans="1:9" x14ac:dyDescent="0.25">
      <c r="A480" s="28"/>
      <c r="B480" s="28"/>
      <c r="C480" s="28" t="s">
        <v>100</v>
      </c>
      <c r="D480" s="52">
        <f>D486+D495</f>
        <v>-41200</v>
      </c>
      <c r="E480" s="52">
        <f t="shared" ref="E480:F480" si="262">E486+E495</f>
        <v>-2149.9899999999998</v>
      </c>
      <c r="F480" s="52">
        <f t="shared" si="262"/>
        <v>-1199.99</v>
      </c>
      <c r="G480" s="52">
        <f t="shared" si="260"/>
        <v>949.99999999999977</v>
      </c>
      <c r="I480" s="2"/>
    </row>
    <row r="481" spans="1:9" x14ac:dyDescent="0.25">
      <c r="A481" s="28"/>
      <c r="B481" s="28"/>
      <c r="C481" s="28" t="s">
        <v>91</v>
      </c>
      <c r="D481" s="52">
        <f>D498+D491</f>
        <v>-3927</v>
      </c>
      <c r="E481" s="52">
        <f>E498+E491</f>
        <v>-3927</v>
      </c>
      <c r="F481" s="52">
        <f>F498+F491</f>
        <v>-2219.19</v>
      </c>
      <c r="G481" s="52">
        <f t="shared" ref="G481" si="263">F481-E481</f>
        <v>1707.81</v>
      </c>
      <c r="I481" s="2"/>
    </row>
    <row r="482" spans="1:9" x14ac:dyDescent="0.25">
      <c r="A482" s="51"/>
      <c r="B482" s="51"/>
      <c r="C482" s="51" t="s">
        <v>79</v>
      </c>
      <c r="D482" s="54">
        <f>SUM(D483:D486)</f>
        <v>-5627770</v>
      </c>
      <c r="E482" s="54">
        <f>SUM(E483:E486)</f>
        <v>-7148403.0800000001</v>
      </c>
      <c r="F482" s="54">
        <f>SUM(F483:F486)</f>
        <v>-6000611.1000000006</v>
      </c>
      <c r="G482" s="54">
        <f>F482-E482</f>
        <v>1147791.9799999995</v>
      </c>
      <c r="I482" s="2"/>
    </row>
    <row r="483" spans="1:9" x14ac:dyDescent="0.25">
      <c r="A483" s="28"/>
      <c r="B483" s="28"/>
      <c r="C483" s="28" t="s">
        <v>89</v>
      </c>
      <c r="D483" s="52">
        <v>-2097326</v>
      </c>
      <c r="E483" s="52">
        <f>D483-2257098</f>
        <v>-4354424</v>
      </c>
      <c r="F483" s="52">
        <v>-3849767.9</v>
      </c>
      <c r="G483" s="52">
        <f t="shared" ref="G483:G486" si="264">F483-E483</f>
        <v>504656.10000000009</v>
      </c>
      <c r="I483" s="2"/>
    </row>
    <row r="484" spans="1:9" x14ac:dyDescent="0.25">
      <c r="A484" s="28"/>
      <c r="B484" s="28"/>
      <c r="C484" s="28" t="s">
        <v>90</v>
      </c>
      <c r="D484" s="52">
        <v>-2255139</v>
      </c>
      <c r="E484" s="52">
        <f>D484-423590.1</f>
        <v>-2678729.1</v>
      </c>
      <c r="F484" s="52">
        <v>-2103931.27</v>
      </c>
      <c r="G484" s="52">
        <f t="shared" si="264"/>
        <v>574797.83000000007</v>
      </c>
      <c r="I484" s="2"/>
    </row>
    <row r="485" spans="1:9" x14ac:dyDescent="0.25">
      <c r="A485" s="28"/>
      <c r="B485" s="28"/>
      <c r="C485" s="28" t="s">
        <v>94</v>
      </c>
      <c r="D485" s="52">
        <v>-1274105</v>
      </c>
      <c r="E485" s="52">
        <f>D485+1161005.01</f>
        <v>-113099.98999999999</v>
      </c>
      <c r="F485" s="52">
        <v>-45711.94</v>
      </c>
      <c r="G485" s="52">
        <f t="shared" ref="G485" si="265">F485-E485</f>
        <v>67388.049999999988</v>
      </c>
      <c r="I485" s="2"/>
    </row>
    <row r="486" spans="1:9" x14ac:dyDescent="0.25">
      <c r="A486" s="28"/>
      <c r="B486" s="28"/>
      <c r="C486" s="28" t="s">
        <v>100</v>
      </c>
      <c r="D486" s="52">
        <v>-1200</v>
      </c>
      <c r="E486" s="52">
        <f>D486-949.99</f>
        <v>-2149.9899999999998</v>
      </c>
      <c r="F486" s="52">
        <v>-1199.99</v>
      </c>
      <c r="G486" s="52">
        <f t="shared" si="264"/>
        <v>949.99999999999977</v>
      </c>
      <c r="I486" s="2"/>
    </row>
    <row r="487" spans="1:9" s="14" customFormat="1" x14ac:dyDescent="0.25">
      <c r="A487" s="51"/>
      <c r="B487" s="51"/>
      <c r="C487" s="51" t="s">
        <v>80</v>
      </c>
      <c r="D487" s="54">
        <f>SUM(D488:D489)+D491</f>
        <v>-1256000</v>
      </c>
      <c r="E487" s="54">
        <f>SUM(E488:E489)+E491</f>
        <v>-1256000</v>
      </c>
      <c r="F487" s="54">
        <f>SUM(F488:F489)+F491</f>
        <v>-1139810.8</v>
      </c>
      <c r="G487" s="54">
        <f>F487-E487</f>
        <v>116189.19999999995</v>
      </c>
      <c r="H487" s="9"/>
      <c r="I487" s="2"/>
    </row>
    <row r="488" spans="1:9" x14ac:dyDescent="0.25">
      <c r="A488" s="28"/>
      <c r="B488" s="28"/>
      <c r="C488" s="28" t="s">
        <v>90</v>
      </c>
      <c r="D488" s="52">
        <v>-1114000</v>
      </c>
      <c r="E488" s="52">
        <f>D488+1114000</f>
        <v>0</v>
      </c>
      <c r="F488" s="52">
        <v>0</v>
      </c>
      <c r="G488" s="52">
        <f t="shared" ref="G488:G491" si="266">F488-E488</f>
        <v>0</v>
      </c>
      <c r="I488" s="2"/>
    </row>
    <row r="489" spans="1:9" x14ac:dyDescent="0.25">
      <c r="A489" s="28"/>
      <c r="B489" s="28"/>
      <c r="C489" s="28" t="s">
        <v>94</v>
      </c>
      <c r="D489" s="52">
        <f>D490</f>
        <v>-142000</v>
      </c>
      <c r="E489" s="52">
        <f t="shared" ref="E489:F489" si="267">E490</f>
        <v>-1256000</v>
      </c>
      <c r="F489" s="52">
        <f t="shared" si="267"/>
        <v>-1139370</v>
      </c>
      <c r="G489" s="52">
        <f t="shared" si="266"/>
        <v>116630</v>
      </c>
      <c r="I489" s="2"/>
    </row>
    <row r="490" spans="1:9" s="24" customFormat="1" x14ac:dyDescent="0.25">
      <c r="A490" s="57"/>
      <c r="B490" s="57"/>
      <c r="C490" s="57" t="s">
        <v>108</v>
      </c>
      <c r="D490" s="62">
        <v>-142000</v>
      </c>
      <c r="E490" s="62">
        <f>D490-1114000</f>
        <v>-1256000</v>
      </c>
      <c r="F490" s="62">
        <v>-1139370</v>
      </c>
      <c r="G490" s="62">
        <f t="shared" si="266"/>
        <v>116630</v>
      </c>
      <c r="H490" s="25"/>
      <c r="I490" s="2"/>
    </row>
    <row r="491" spans="1:9" s="24" customFormat="1" x14ac:dyDescent="0.25">
      <c r="A491" s="57"/>
      <c r="B491" s="57"/>
      <c r="C491" s="28" t="s">
        <v>95</v>
      </c>
      <c r="D491" s="52">
        <v>0</v>
      </c>
      <c r="E491" s="52">
        <v>0</v>
      </c>
      <c r="F491" s="52">
        <v>-440.8</v>
      </c>
      <c r="G491" s="62">
        <f t="shared" si="266"/>
        <v>-440.8</v>
      </c>
      <c r="H491" s="25"/>
      <c r="I491" s="2"/>
    </row>
    <row r="492" spans="1:9" s="14" customFormat="1" x14ac:dyDescent="0.25">
      <c r="A492" s="51"/>
      <c r="B492" s="51"/>
      <c r="C492" s="51" t="s">
        <v>81</v>
      </c>
      <c r="D492" s="54">
        <f>SUM(D493:D495)</f>
        <v>-40000</v>
      </c>
      <c r="E492" s="54">
        <f>SUM(E493:E495)</f>
        <v>-1098834.1599999999</v>
      </c>
      <c r="F492" s="54">
        <f>SUM(F493:F495)</f>
        <v>-635268.34000000008</v>
      </c>
      <c r="G492" s="54">
        <f>F492-E492</f>
        <v>463565.81999999983</v>
      </c>
      <c r="H492" s="9"/>
      <c r="I492" s="2"/>
    </row>
    <row r="493" spans="1:9" s="14" customFormat="1" x14ac:dyDescent="0.25">
      <c r="A493" s="51"/>
      <c r="B493" s="51"/>
      <c r="C493" s="28" t="s">
        <v>89</v>
      </c>
      <c r="D493" s="52">
        <v>0</v>
      </c>
      <c r="E493" s="52">
        <v>-317688.7</v>
      </c>
      <c r="F493" s="52">
        <v>-281546</v>
      </c>
      <c r="G493" s="54">
        <f t="shared" ref="G493:G494" si="268">F493-E493</f>
        <v>36142.700000000012</v>
      </c>
      <c r="H493" s="9"/>
      <c r="I493" s="2"/>
    </row>
    <row r="494" spans="1:9" s="14" customFormat="1" x14ac:dyDescent="0.25">
      <c r="A494" s="51"/>
      <c r="B494" s="51"/>
      <c r="C494" s="28" t="s">
        <v>90</v>
      </c>
      <c r="D494" s="52">
        <v>0</v>
      </c>
      <c r="E494" s="52">
        <v>-781145.46</v>
      </c>
      <c r="F494" s="52">
        <v>-353722.34</v>
      </c>
      <c r="G494" s="54">
        <f t="shared" si="268"/>
        <v>427423.11999999994</v>
      </c>
      <c r="H494" s="9"/>
      <c r="I494" s="2"/>
    </row>
    <row r="495" spans="1:9" x14ac:dyDescent="0.25">
      <c r="A495" s="28"/>
      <c r="B495" s="28"/>
      <c r="C495" s="28" t="s">
        <v>100</v>
      </c>
      <c r="D495" s="52">
        <v>-40000</v>
      </c>
      <c r="E495" s="52">
        <f>D495+40000</f>
        <v>0</v>
      </c>
      <c r="F495" s="52">
        <v>0</v>
      </c>
      <c r="G495" s="52">
        <f t="shared" ref="G495:G498" si="269">F495-E495</f>
        <v>0</v>
      </c>
      <c r="I495" s="2"/>
    </row>
    <row r="496" spans="1:9" x14ac:dyDescent="0.25">
      <c r="A496" s="28"/>
      <c r="B496" s="28"/>
      <c r="C496" s="51" t="s">
        <v>82</v>
      </c>
      <c r="D496" s="54">
        <f>D497</f>
        <v>0</v>
      </c>
      <c r="E496" s="54">
        <f>E497</f>
        <v>-10099.24</v>
      </c>
      <c r="F496" s="54">
        <f>F497</f>
        <v>-10098.84</v>
      </c>
      <c r="G496" s="54">
        <f t="shared" si="269"/>
        <v>0.3999999999996362</v>
      </c>
      <c r="I496" s="2"/>
    </row>
    <row r="497" spans="1:9" x14ac:dyDescent="0.25">
      <c r="A497" s="28"/>
      <c r="B497" s="28"/>
      <c r="C497" s="28" t="s">
        <v>90</v>
      </c>
      <c r="D497" s="52">
        <v>0</v>
      </c>
      <c r="E497" s="52">
        <v>-10099.24</v>
      </c>
      <c r="F497" s="52">
        <v>-10098.84</v>
      </c>
      <c r="G497" s="52"/>
      <c r="I497" s="2"/>
    </row>
    <row r="498" spans="1:9" s="14" customFormat="1" x14ac:dyDescent="0.25">
      <c r="A498" s="51"/>
      <c r="B498" s="51"/>
      <c r="C498" s="51" t="s">
        <v>85</v>
      </c>
      <c r="D498" s="55">
        <v>-3927</v>
      </c>
      <c r="E498" s="55">
        <f t="shared" ref="E498" si="270">D498</f>
        <v>-3927</v>
      </c>
      <c r="F498" s="54">
        <v>-1778.39</v>
      </c>
      <c r="G498" s="55">
        <f t="shared" si="269"/>
        <v>2148.6099999999997</v>
      </c>
      <c r="H498" s="9"/>
      <c r="I498" s="2"/>
    </row>
    <row r="499" spans="1:9" x14ac:dyDescent="0.25">
      <c r="A499" s="51"/>
      <c r="B499" s="51" t="s">
        <v>88</v>
      </c>
      <c r="C499" s="51"/>
      <c r="D499" s="54">
        <f>SUM(D500:D502)</f>
        <v>-2152160</v>
      </c>
      <c r="E499" s="54">
        <f>SUM(E500:E502)</f>
        <v>-2454663.1</v>
      </c>
      <c r="F499" s="54">
        <f>SUM(F500:F502)</f>
        <v>-2372921.1100000003</v>
      </c>
      <c r="G499" s="54">
        <f>F499-E499</f>
        <v>81741.989999999758</v>
      </c>
      <c r="I499" s="2"/>
    </row>
    <row r="500" spans="1:9" x14ac:dyDescent="0.25">
      <c r="A500" s="28"/>
      <c r="B500" s="28"/>
      <c r="C500" s="28" t="s">
        <v>89</v>
      </c>
      <c r="D500" s="52">
        <f>D504+D509+D512</f>
        <v>-695248</v>
      </c>
      <c r="E500" s="52">
        <f t="shared" ref="E500:F500" si="271">E504+E509+E512</f>
        <v>-905286.96</v>
      </c>
      <c r="F500" s="52">
        <f t="shared" si="271"/>
        <v>-798866.67</v>
      </c>
      <c r="G500" s="52">
        <f t="shared" ref="G500:G502" si="272">F500-E500</f>
        <v>106420.28999999992</v>
      </c>
      <c r="I500" s="2"/>
    </row>
    <row r="501" spans="1:9" x14ac:dyDescent="0.25">
      <c r="A501" s="28"/>
      <c r="B501" s="28"/>
      <c r="C501" s="28" t="s">
        <v>90</v>
      </c>
      <c r="D501" s="52">
        <f>D505+D510</f>
        <v>-807580</v>
      </c>
      <c r="E501" s="52">
        <f t="shared" ref="E501:F501" si="273">E505+E510</f>
        <v>-900044.14</v>
      </c>
      <c r="F501" s="52">
        <f t="shared" si="273"/>
        <v>-790184.78</v>
      </c>
      <c r="G501" s="52">
        <f t="shared" si="272"/>
        <v>109859.35999999999</v>
      </c>
      <c r="I501" s="2"/>
    </row>
    <row r="502" spans="1:9" x14ac:dyDescent="0.25">
      <c r="A502" s="28"/>
      <c r="B502" s="28"/>
      <c r="C502" s="28" t="s">
        <v>91</v>
      </c>
      <c r="D502" s="52">
        <f>D513</f>
        <v>-649332</v>
      </c>
      <c r="E502" s="52">
        <f t="shared" ref="E502" si="274">E513</f>
        <v>-649332</v>
      </c>
      <c r="F502" s="52">
        <f>F513+F507</f>
        <v>-783869.66</v>
      </c>
      <c r="G502" s="52">
        <f t="shared" si="272"/>
        <v>-134537.66000000003</v>
      </c>
      <c r="I502" s="2"/>
    </row>
    <row r="503" spans="1:9" x14ac:dyDescent="0.25">
      <c r="A503" s="51"/>
      <c r="B503" s="51"/>
      <c r="C503" s="51" t="s">
        <v>79</v>
      </c>
      <c r="D503" s="54">
        <f>SUM(D504:D505)</f>
        <v>-1295639</v>
      </c>
      <c r="E503" s="54">
        <f>SUM(E504:E505)</f>
        <v>-1530886.1800000002</v>
      </c>
      <c r="F503" s="54">
        <f>SUM(F504:F505)</f>
        <v>-1332940.6800000002</v>
      </c>
      <c r="G503" s="54">
        <f>F503-E503</f>
        <v>197945.5</v>
      </c>
      <c r="I503" s="2"/>
    </row>
    <row r="504" spans="1:9" x14ac:dyDescent="0.25">
      <c r="A504" s="28"/>
      <c r="B504" s="28"/>
      <c r="C504" s="28" t="s">
        <v>89</v>
      </c>
      <c r="D504" s="52">
        <v>-517206</v>
      </c>
      <c r="E504" s="52">
        <f>D504-128969.92</f>
        <v>-646175.92000000004</v>
      </c>
      <c r="F504" s="52">
        <v>-558089.78</v>
      </c>
      <c r="G504" s="52">
        <f t="shared" ref="G504:G507" si="275">F504-E504</f>
        <v>88086.140000000014</v>
      </c>
      <c r="I504" s="2"/>
    </row>
    <row r="505" spans="1:9" x14ac:dyDescent="0.25">
      <c r="A505" s="28"/>
      <c r="B505" s="28"/>
      <c r="C505" s="28" t="s">
        <v>90</v>
      </c>
      <c r="D505" s="52">
        <v>-778433</v>
      </c>
      <c r="E505" s="52">
        <f>D505-106277.26</f>
        <v>-884710.26</v>
      </c>
      <c r="F505" s="52">
        <v>-774850.9</v>
      </c>
      <c r="G505" s="52">
        <f t="shared" si="275"/>
        <v>109859.35999999999</v>
      </c>
      <c r="I505" s="2"/>
    </row>
    <row r="506" spans="1:9" x14ac:dyDescent="0.25">
      <c r="A506" s="28"/>
      <c r="B506" s="28"/>
      <c r="C506" s="59" t="s">
        <v>80</v>
      </c>
      <c r="D506" s="52">
        <f>D507</f>
        <v>0</v>
      </c>
      <c r="E506" s="52">
        <f>E507</f>
        <v>0</v>
      </c>
      <c r="F506" s="52">
        <f>F507</f>
        <v>-15.05</v>
      </c>
      <c r="G506" s="52">
        <f t="shared" si="275"/>
        <v>-15.05</v>
      </c>
      <c r="I506" s="2"/>
    </row>
    <row r="507" spans="1:9" x14ac:dyDescent="0.25">
      <c r="A507" s="28"/>
      <c r="B507" s="28"/>
      <c r="C507" s="28" t="s">
        <v>95</v>
      </c>
      <c r="D507" s="52">
        <v>0</v>
      </c>
      <c r="E507" s="52">
        <v>0</v>
      </c>
      <c r="F507" s="52">
        <v>-15.05</v>
      </c>
      <c r="G507" s="52">
        <f t="shared" si="275"/>
        <v>-15.05</v>
      </c>
      <c r="I507" s="2"/>
    </row>
    <row r="508" spans="1:9" s="14" customFormat="1" x14ac:dyDescent="0.25">
      <c r="A508" s="51"/>
      <c r="B508" s="51"/>
      <c r="C508" s="51" t="s">
        <v>81</v>
      </c>
      <c r="D508" s="54">
        <f>SUM(D509:D510)</f>
        <v>-207183</v>
      </c>
      <c r="E508" s="54">
        <f t="shared" ref="E508:F508" si="276">SUM(E509:E510)</f>
        <v>-274444.92</v>
      </c>
      <c r="F508" s="54">
        <f t="shared" si="276"/>
        <v>-256110.77000000002</v>
      </c>
      <c r="G508" s="54">
        <f>F508-E508</f>
        <v>18334.149999999965</v>
      </c>
      <c r="H508" s="9"/>
      <c r="I508" s="2"/>
    </row>
    <row r="509" spans="1:9" x14ac:dyDescent="0.25">
      <c r="A509" s="28"/>
      <c r="B509" s="28"/>
      <c r="C509" s="28" t="s">
        <v>89</v>
      </c>
      <c r="D509" s="53">
        <v>-178036</v>
      </c>
      <c r="E509" s="53">
        <f>D509-81075.04</f>
        <v>-259111.03999999998</v>
      </c>
      <c r="F509" s="52">
        <v>-240776.89</v>
      </c>
      <c r="G509" s="53">
        <f t="shared" ref="G509:G510" si="277">F509-E509</f>
        <v>18334.149999999965</v>
      </c>
      <c r="I509" s="2"/>
    </row>
    <row r="510" spans="1:9" x14ac:dyDescent="0.25">
      <c r="A510" s="28"/>
      <c r="B510" s="28"/>
      <c r="C510" s="28" t="s">
        <v>90</v>
      </c>
      <c r="D510" s="53">
        <v>-29147</v>
      </c>
      <c r="E510" s="53">
        <f>D510+13813.12</f>
        <v>-15333.88</v>
      </c>
      <c r="F510" s="52">
        <v>-15333.88</v>
      </c>
      <c r="G510" s="53">
        <f t="shared" si="277"/>
        <v>0</v>
      </c>
      <c r="I510" s="2"/>
    </row>
    <row r="511" spans="1:9" s="14" customFormat="1" x14ac:dyDescent="0.25">
      <c r="A511" s="51"/>
      <c r="B511" s="51"/>
      <c r="C511" s="51" t="s">
        <v>82</v>
      </c>
      <c r="D511" s="55">
        <f>SUM(D512:D512)</f>
        <v>-6</v>
      </c>
      <c r="E511" s="55">
        <f>SUM(E512:E512)</f>
        <v>0</v>
      </c>
      <c r="F511" s="54">
        <f>SUM(F512:F512)</f>
        <v>0</v>
      </c>
      <c r="G511" s="55">
        <f>F511-E511</f>
        <v>0</v>
      </c>
      <c r="H511" s="9"/>
      <c r="I511" s="2"/>
    </row>
    <row r="512" spans="1:9" x14ac:dyDescent="0.25">
      <c r="A512" s="28"/>
      <c r="B512" s="28"/>
      <c r="C512" s="28" t="s">
        <v>89</v>
      </c>
      <c r="D512" s="53">
        <v>-6</v>
      </c>
      <c r="E512" s="53">
        <v>0</v>
      </c>
      <c r="F512" s="52">
        <v>0</v>
      </c>
      <c r="G512" s="53">
        <f t="shared" ref="G512:G519" si="278">F512-E512</f>
        <v>0</v>
      </c>
      <c r="I512" s="2"/>
    </row>
    <row r="513" spans="1:9" s="14" customFormat="1" x14ac:dyDescent="0.25">
      <c r="A513" s="51"/>
      <c r="B513" s="51"/>
      <c r="C513" s="51" t="s">
        <v>85</v>
      </c>
      <c r="D513" s="55">
        <v>-649332</v>
      </c>
      <c r="E513" s="55">
        <f t="shared" ref="E513" si="279">D513</f>
        <v>-649332</v>
      </c>
      <c r="F513" s="54">
        <v>-783854.61</v>
      </c>
      <c r="G513" s="55">
        <f t="shared" si="278"/>
        <v>-134522.60999999999</v>
      </c>
      <c r="H513" s="9"/>
      <c r="I513" s="2"/>
    </row>
    <row r="514" spans="1:9" s="14" customFormat="1" ht="15.75" x14ac:dyDescent="0.25">
      <c r="A514" s="76" t="s">
        <v>35</v>
      </c>
      <c r="B514" s="90"/>
      <c r="C514" s="90"/>
      <c r="D514" s="91">
        <f>SUM(D515:D520)</f>
        <v>-2444877272</v>
      </c>
      <c r="E514" s="91">
        <f>SUM(E515:E520)</f>
        <v>-2480656305.1799998</v>
      </c>
      <c r="F514" s="91">
        <f>SUM(F515:F520)</f>
        <v>-2467522821.724</v>
      </c>
      <c r="G514" s="91">
        <f t="shared" si="278"/>
        <v>13133483.455999851</v>
      </c>
      <c r="H514" s="9"/>
      <c r="I514" s="2"/>
    </row>
    <row r="515" spans="1:9" ht="15.75" x14ac:dyDescent="0.25">
      <c r="A515" s="32"/>
      <c r="B515" s="56" t="s">
        <v>79</v>
      </c>
      <c r="C515" s="56"/>
      <c r="D515" s="52">
        <f>D522+D677+D876</f>
        <v>-73615192</v>
      </c>
      <c r="E515" s="52">
        <f>E522+E677+E876</f>
        <v>-92590850.139999986</v>
      </c>
      <c r="F515" s="52">
        <f>F522+F677+F876</f>
        <v>-81394855.709999993</v>
      </c>
      <c r="G515" s="52">
        <f t="shared" si="278"/>
        <v>11195994.429999992</v>
      </c>
      <c r="I515" s="2"/>
    </row>
    <row r="516" spans="1:9" ht="15.75" x14ac:dyDescent="0.25">
      <c r="A516" s="32"/>
      <c r="B516" s="56" t="s">
        <v>80</v>
      </c>
      <c r="C516" s="56"/>
      <c r="D516" s="52">
        <f>D877+D523</f>
        <v>-315568986</v>
      </c>
      <c r="E516" s="52">
        <f>E877+E523</f>
        <v>-315568986</v>
      </c>
      <c r="F516" s="52">
        <f>F877+F523+F678</f>
        <v>-310861643.08399999</v>
      </c>
      <c r="G516" s="52">
        <f t="shared" si="278"/>
        <v>4707342.9160000086</v>
      </c>
      <c r="I516" s="2"/>
    </row>
    <row r="517" spans="1:9" ht="15.75" x14ac:dyDescent="0.25">
      <c r="A517" s="32"/>
      <c r="B517" s="56" t="s">
        <v>81</v>
      </c>
      <c r="C517" s="56"/>
      <c r="D517" s="52">
        <f t="shared" ref="D517:F518" si="280">D524+D679+D878</f>
        <v>-32414458</v>
      </c>
      <c r="E517" s="52">
        <f t="shared" si="280"/>
        <v>-35744606.25</v>
      </c>
      <c r="F517" s="52">
        <f t="shared" si="280"/>
        <v>-30878157.099999998</v>
      </c>
      <c r="G517" s="52">
        <f t="shared" si="278"/>
        <v>4866449.1500000022</v>
      </c>
      <c r="I517" s="2"/>
    </row>
    <row r="518" spans="1:9" ht="15.75" x14ac:dyDescent="0.25">
      <c r="A518" s="32"/>
      <c r="B518" s="56" t="s">
        <v>82</v>
      </c>
      <c r="C518" s="56"/>
      <c r="D518" s="52">
        <f t="shared" si="280"/>
        <v>-11951198</v>
      </c>
      <c r="E518" s="52">
        <f t="shared" si="280"/>
        <v>-25424424.359999999</v>
      </c>
      <c r="F518" s="52">
        <f t="shared" si="280"/>
        <v>-14771334.950000001</v>
      </c>
      <c r="G518" s="52">
        <f t="shared" si="278"/>
        <v>10653089.409999998</v>
      </c>
      <c r="I518" s="2"/>
    </row>
    <row r="519" spans="1:9" ht="15.75" x14ac:dyDescent="0.25">
      <c r="A519" s="32"/>
      <c r="B519" s="56" t="s">
        <v>83</v>
      </c>
      <c r="C519" s="56"/>
      <c r="D519" s="52">
        <f>D880</f>
        <v>-2007878960</v>
      </c>
      <c r="E519" s="52">
        <f t="shared" ref="E519:F519" si="281">E880</f>
        <v>-2007878960</v>
      </c>
      <c r="F519" s="52">
        <f t="shared" si="281"/>
        <v>-2025375926.99</v>
      </c>
      <c r="G519" s="52">
        <f t="shared" si="278"/>
        <v>-17496966.99000001</v>
      </c>
      <c r="I519" s="2"/>
    </row>
    <row r="520" spans="1:9" ht="15.75" x14ac:dyDescent="0.25">
      <c r="A520" s="32"/>
      <c r="B520" s="56" t="s">
        <v>85</v>
      </c>
      <c r="C520" s="56"/>
      <c r="D520" s="52">
        <f>D526+D681+D881</f>
        <v>-3448478</v>
      </c>
      <c r="E520" s="52">
        <f>E526+E681+E881</f>
        <v>-3448478.4299999997</v>
      </c>
      <c r="F520" s="52">
        <f>F526+F681+F881</f>
        <v>-4240903.8900000006</v>
      </c>
      <c r="G520" s="52">
        <f t="shared" ref="G520:G532" si="282">F520-E520</f>
        <v>-792425.46000000089</v>
      </c>
      <c r="I520" s="2"/>
    </row>
    <row r="521" spans="1:9" s="14" customFormat="1" ht="15.75" x14ac:dyDescent="0.25">
      <c r="A521" s="63" t="s">
        <v>36</v>
      </c>
      <c r="B521" s="59"/>
      <c r="C521" s="59"/>
      <c r="D521" s="54">
        <f>SUM(D522:D526)</f>
        <v>-11146317</v>
      </c>
      <c r="E521" s="54">
        <f>SUM(E522:E526)</f>
        <v>-12131376.039999999</v>
      </c>
      <c r="F521" s="54">
        <f>SUM(F522:F526)</f>
        <v>-10498801.719999999</v>
      </c>
      <c r="G521" s="54">
        <f t="shared" si="282"/>
        <v>1632574.3200000003</v>
      </c>
      <c r="H521" s="9"/>
      <c r="I521" s="2"/>
    </row>
    <row r="522" spans="1:9" ht="15.75" x14ac:dyDescent="0.25">
      <c r="A522" s="64"/>
      <c r="B522" s="56" t="s">
        <v>79</v>
      </c>
      <c r="C522" s="56"/>
      <c r="D522" s="52">
        <f>D528+D565+D604+D642</f>
        <v>-8006141</v>
      </c>
      <c r="E522" s="52">
        <f t="shared" ref="E522:F522" si="283">E528+E565+E604+E642</f>
        <v>-8286324.1299999999</v>
      </c>
      <c r="F522" s="52">
        <f t="shared" si="283"/>
        <v>-7763456.6199999992</v>
      </c>
      <c r="G522" s="52">
        <f t="shared" si="282"/>
        <v>522867.51000000071</v>
      </c>
      <c r="I522" s="2"/>
    </row>
    <row r="523" spans="1:9" ht="15.75" x14ac:dyDescent="0.25">
      <c r="A523" s="64"/>
      <c r="B523" s="56" t="s">
        <v>80</v>
      </c>
      <c r="C523" s="56"/>
      <c r="D523" s="52">
        <f>D529+D566+D605+D643</f>
        <v>0</v>
      </c>
      <c r="E523" s="52">
        <f>E529+E566+E605+E643</f>
        <v>0</v>
      </c>
      <c r="F523" s="52">
        <f>F529+F566+F605+F643</f>
        <v>-182.02</v>
      </c>
      <c r="G523" s="52">
        <f t="shared" si="282"/>
        <v>-182.02</v>
      </c>
      <c r="I523" s="2"/>
    </row>
    <row r="524" spans="1:9" ht="15.75" x14ac:dyDescent="0.25">
      <c r="A524" s="64"/>
      <c r="B524" s="56" t="s">
        <v>81</v>
      </c>
      <c r="C524" s="56"/>
      <c r="D524" s="52">
        <f>D530+D567+D606+D644</f>
        <v>-475103</v>
      </c>
      <c r="E524" s="52">
        <f>E530+E567+E606+E644</f>
        <v>-738589.39999999991</v>
      </c>
      <c r="F524" s="52">
        <f>F530+F567+F606+F644</f>
        <v>-437039.6</v>
      </c>
      <c r="G524" s="52">
        <f t="shared" si="282"/>
        <v>301549.79999999993</v>
      </c>
      <c r="I524" s="2"/>
    </row>
    <row r="525" spans="1:9" x14ac:dyDescent="0.25">
      <c r="A525" s="56"/>
      <c r="B525" s="56" t="s">
        <v>82</v>
      </c>
      <c r="C525" s="56"/>
      <c r="D525" s="52">
        <f>D531+D568+D607+D645</f>
        <v>-2157471</v>
      </c>
      <c r="E525" s="52">
        <f t="shared" ref="E525:F525" si="284">E531+E568+E607+E645</f>
        <v>-2587946.09</v>
      </c>
      <c r="F525" s="52">
        <f t="shared" si="284"/>
        <v>-1781285.59</v>
      </c>
      <c r="G525" s="52">
        <f t="shared" si="282"/>
        <v>806660.49999999977</v>
      </c>
      <c r="I525" s="2"/>
    </row>
    <row r="526" spans="1:9" x14ac:dyDescent="0.25">
      <c r="A526" s="56"/>
      <c r="B526" s="56" t="s">
        <v>85</v>
      </c>
      <c r="C526" s="56"/>
      <c r="D526" s="52">
        <f>D532+D569+D608+D646</f>
        <v>-507602</v>
      </c>
      <c r="E526" s="52">
        <f t="shared" ref="E526:F526" si="285">E532+E569+E608+E646</f>
        <v>-518516.42</v>
      </c>
      <c r="F526" s="52">
        <f t="shared" si="285"/>
        <v>-516837.89000000007</v>
      </c>
      <c r="G526" s="52">
        <f t="shared" si="282"/>
        <v>1678.5299999999115</v>
      </c>
      <c r="I526" s="2"/>
    </row>
    <row r="527" spans="1:9" s="14" customFormat="1" ht="15.75" x14ac:dyDescent="0.25">
      <c r="A527" s="39" t="s">
        <v>127</v>
      </c>
      <c r="B527" s="59"/>
      <c r="C527" s="59"/>
      <c r="D527" s="54">
        <f>SUM(D528:D532)</f>
        <v>-1432078</v>
      </c>
      <c r="E527" s="54">
        <f>SUM(E528:E532)</f>
        <v>-1346986.41</v>
      </c>
      <c r="F527" s="54">
        <f>SUM(F528:F532)</f>
        <v>-1050707.1499999999</v>
      </c>
      <c r="G527" s="54">
        <f t="shared" si="282"/>
        <v>296279.26</v>
      </c>
      <c r="H527" s="9"/>
      <c r="I527" s="2"/>
    </row>
    <row r="528" spans="1:9" x14ac:dyDescent="0.25">
      <c r="A528" s="28"/>
      <c r="B528" s="56" t="s">
        <v>79</v>
      </c>
      <c r="C528" s="56"/>
      <c r="D528" s="52">
        <f>D538+D554</f>
        <v>-969401</v>
      </c>
      <c r="E528" s="52">
        <f t="shared" ref="E528:F528" si="286">E538+E554</f>
        <v>-945914.16999999993</v>
      </c>
      <c r="F528" s="52">
        <f t="shared" si="286"/>
        <v>-771351.36</v>
      </c>
      <c r="G528" s="52">
        <f t="shared" si="282"/>
        <v>174562.80999999994</v>
      </c>
      <c r="I528" s="2"/>
    </row>
    <row r="529" spans="1:9" x14ac:dyDescent="0.25">
      <c r="A529" s="28"/>
      <c r="B529" s="56" t="s">
        <v>80</v>
      </c>
      <c r="C529" s="56"/>
      <c r="D529" s="52">
        <f>D542</f>
        <v>0</v>
      </c>
      <c r="E529" s="52">
        <f>E542</f>
        <v>0</v>
      </c>
      <c r="F529" s="52">
        <f>F542</f>
        <v>-15.1</v>
      </c>
      <c r="G529" s="52">
        <f t="shared" si="282"/>
        <v>-15.1</v>
      </c>
      <c r="I529" s="2"/>
    </row>
    <row r="530" spans="1:9" x14ac:dyDescent="0.25">
      <c r="A530" s="28"/>
      <c r="B530" s="56" t="s">
        <v>81</v>
      </c>
      <c r="C530" s="56"/>
      <c r="D530" s="52">
        <f>D544+D557</f>
        <v>-439223</v>
      </c>
      <c r="E530" s="52">
        <f t="shared" ref="E530:F530" si="287">E544+E557</f>
        <v>-359498.2</v>
      </c>
      <c r="F530" s="52">
        <f t="shared" si="287"/>
        <v>-216508.43</v>
      </c>
      <c r="G530" s="52">
        <f t="shared" ref="G530:G531" si="288">F530-E530</f>
        <v>142989.77000000002</v>
      </c>
      <c r="I530" s="2"/>
    </row>
    <row r="531" spans="1:9" x14ac:dyDescent="0.25">
      <c r="A531" s="28"/>
      <c r="B531" s="56" t="s">
        <v>82</v>
      </c>
      <c r="C531" s="56"/>
      <c r="D531" s="52">
        <f>D560+D548</f>
        <v>-7076</v>
      </c>
      <c r="E531" s="52">
        <f>E560+E548</f>
        <v>-25196.04</v>
      </c>
      <c r="F531" s="52">
        <f>F560+F548</f>
        <v>-22635.07</v>
      </c>
      <c r="G531" s="52">
        <f t="shared" si="288"/>
        <v>2560.9700000000012</v>
      </c>
      <c r="I531" s="2"/>
    </row>
    <row r="532" spans="1:9" x14ac:dyDescent="0.25">
      <c r="A532" s="28"/>
      <c r="B532" s="56" t="s">
        <v>85</v>
      </c>
      <c r="C532" s="56"/>
      <c r="D532" s="52">
        <f>D563</f>
        <v>-16378</v>
      </c>
      <c r="E532" s="52">
        <f t="shared" ref="E532:F532" si="289">E563</f>
        <v>-16378</v>
      </c>
      <c r="F532" s="52">
        <f t="shared" si="289"/>
        <v>-40197.19</v>
      </c>
      <c r="G532" s="52">
        <f t="shared" si="282"/>
        <v>-23819.190000000002</v>
      </c>
      <c r="I532" s="2"/>
    </row>
    <row r="533" spans="1:9" x14ac:dyDescent="0.25">
      <c r="A533" s="51"/>
      <c r="B533" s="59" t="s">
        <v>99</v>
      </c>
      <c r="C533" s="59"/>
      <c r="D533" s="54">
        <f>SUM(D534:D537)</f>
        <v>-1335636</v>
      </c>
      <c r="E533" s="54">
        <f>SUM(E534:E537)</f>
        <v>-1228011.0299999998</v>
      </c>
      <c r="F533" s="54">
        <f>SUM(F534:F537)</f>
        <v>-922863.69</v>
      </c>
      <c r="G533" s="54">
        <f>F533-E533</f>
        <v>305147.33999999985</v>
      </c>
      <c r="I533" s="2"/>
    </row>
    <row r="534" spans="1:9" x14ac:dyDescent="0.25">
      <c r="A534" s="28"/>
      <c r="B534" s="28"/>
      <c r="C534" s="28" t="s">
        <v>89</v>
      </c>
      <c r="D534" s="53">
        <f>D539+D545+D549</f>
        <v>-663932</v>
      </c>
      <c r="E534" s="53">
        <f>E539+E545+E549</f>
        <v>-793495.28999999992</v>
      </c>
      <c r="F534" s="53">
        <f>F539+F545+F549</f>
        <v>-691333.54</v>
      </c>
      <c r="G534" s="53">
        <f t="shared" ref="G534:G537" si="290">F534-E534</f>
        <v>102161.74999999988</v>
      </c>
      <c r="I534" s="2"/>
    </row>
    <row r="535" spans="1:9" x14ac:dyDescent="0.25">
      <c r="A535" s="28"/>
      <c r="B535" s="28"/>
      <c r="C535" s="28" t="s">
        <v>90</v>
      </c>
      <c r="D535" s="53">
        <f>D540+D546</f>
        <v>-297534</v>
      </c>
      <c r="E535" s="53">
        <f t="shared" ref="E535:F535" si="291">E540+E546</f>
        <v>-240305.97999999998</v>
      </c>
      <c r="F535" s="53">
        <f t="shared" si="291"/>
        <v>-146133.94</v>
      </c>
      <c r="G535" s="53">
        <f t="shared" si="290"/>
        <v>94172.039999999979</v>
      </c>
      <c r="I535" s="2"/>
    </row>
    <row r="536" spans="1:9" x14ac:dyDescent="0.25">
      <c r="A536" s="28"/>
      <c r="B536" s="28"/>
      <c r="C536" s="28" t="s">
        <v>100</v>
      </c>
      <c r="D536" s="53">
        <f>D541+D547</f>
        <v>-374170</v>
      </c>
      <c r="E536" s="53">
        <f t="shared" ref="E536:F536" si="292">E541+E547</f>
        <v>-194209.76</v>
      </c>
      <c r="F536" s="53">
        <f t="shared" si="292"/>
        <v>-85381.11</v>
      </c>
      <c r="G536" s="53">
        <f t="shared" si="290"/>
        <v>108828.65000000001</v>
      </c>
      <c r="I536" s="2"/>
    </row>
    <row r="537" spans="1:9" x14ac:dyDescent="0.25">
      <c r="A537" s="28"/>
      <c r="B537" s="28"/>
      <c r="C537" s="28" t="s">
        <v>95</v>
      </c>
      <c r="D537" s="53">
        <f>D543</f>
        <v>0</v>
      </c>
      <c r="E537" s="53">
        <f>E543</f>
        <v>0</v>
      </c>
      <c r="F537" s="53">
        <f>F543</f>
        <v>-15.1</v>
      </c>
      <c r="G537" s="53">
        <f t="shared" si="290"/>
        <v>-15.1</v>
      </c>
      <c r="I537" s="2"/>
    </row>
    <row r="538" spans="1:9" x14ac:dyDescent="0.25">
      <c r="A538" s="51"/>
      <c r="B538" s="51"/>
      <c r="C538" s="51" t="s">
        <v>79</v>
      </c>
      <c r="D538" s="54">
        <f>SUM(D539:D541)</f>
        <v>-924717</v>
      </c>
      <c r="E538" s="54">
        <f t="shared" ref="E538:F538" si="293">SUM(E539:E541)</f>
        <v>-908862.89999999991</v>
      </c>
      <c r="F538" s="54">
        <f t="shared" si="293"/>
        <v>-742571.28</v>
      </c>
      <c r="G538" s="54">
        <f>F538-E538</f>
        <v>166291.61999999988</v>
      </c>
      <c r="I538" s="2"/>
    </row>
    <row r="539" spans="1:9" x14ac:dyDescent="0.25">
      <c r="A539" s="28"/>
      <c r="B539" s="28"/>
      <c r="C539" s="28" t="s">
        <v>89</v>
      </c>
      <c r="D539" s="52">
        <v>-641916</v>
      </c>
      <c r="E539" s="52">
        <f>D539-73216.43</f>
        <v>-715132.42999999993</v>
      </c>
      <c r="F539" s="52">
        <v>-614012.4</v>
      </c>
      <c r="G539" s="52">
        <f t="shared" ref="G539:G540" si="294">F539-E539</f>
        <v>101120.02999999991</v>
      </c>
      <c r="I539" s="2"/>
    </row>
    <row r="540" spans="1:9" x14ac:dyDescent="0.25">
      <c r="A540" s="28"/>
      <c r="B540" s="28"/>
      <c r="C540" s="28" t="s">
        <v>90</v>
      </c>
      <c r="D540" s="52">
        <v>-252511</v>
      </c>
      <c r="E540" s="52">
        <f>D540+70815.85+11000-1</f>
        <v>-170696.15</v>
      </c>
      <c r="F540" s="52">
        <v>-108715.93</v>
      </c>
      <c r="G540" s="52">
        <f t="shared" si="294"/>
        <v>61980.22</v>
      </c>
      <c r="I540" s="2"/>
    </row>
    <row r="541" spans="1:9" x14ac:dyDescent="0.25">
      <c r="A541" s="28"/>
      <c r="B541" s="28"/>
      <c r="C541" s="28" t="s">
        <v>100</v>
      </c>
      <c r="D541" s="52">
        <v>-30290</v>
      </c>
      <c r="E541" s="52">
        <f>D541+18255.68-11000</f>
        <v>-23034.32</v>
      </c>
      <c r="F541" s="53">
        <v>-19842.95</v>
      </c>
      <c r="G541" s="53">
        <f t="shared" ref="G541:G543" si="295">F541-E541</f>
        <v>3191.369999999999</v>
      </c>
      <c r="I541" s="2"/>
    </row>
    <row r="542" spans="1:9" x14ac:dyDescent="0.25">
      <c r="A542" s="28"/>
      <c r="B542" s="28"/>
      <c r="C542" s="59" t="s">
        <v>80</v>
      </c>
      <c r="D542" s="54">
        <f>D543</f>
        <v>0</v>
      </c>
      <c r="E542" s="54">
        <f>E543</f>
        <v>0</v>
      </c>
      <c r="F542" s="54">
        <f>F543</f>
        <v>-15.1</v>
      </c>
      <c r="G542" s="54">
        <f t="shared" si="295"/>
        <v>-15.1</v>
      </c>
      <c r="I542" s="2"/>
    </row>
    <row r="543" spans="1:9" x14ac:dyDescent="0.25">
      <c r="A543" s="28"/>
      <c r="B543" s="28"/>
      <c r="C543" s="56" t="s">
        <v>95</v>
      </c>
      <c r="D543" s="52">
        <v>0</v>
      </c>
      <c r="E543" s="52">
        <v>0</v>
      </c>
      <c r="F543" s="52">
        <v>-15.1</v>
      </c>
      <c r="G543" s="52">
        <f t="shared" si="295"/>
        <v>-15.1</v>
      </c>
      <c r="I543" s="2"/>
    </row>
    <row r="544" spans="1:9" s="14" customFormat="1" x14ac:dyDescent="0.25">
      <c r="A544" s="51"/>
      <c r="B544" s="51"/>
      <c r="C544" s="59" t="s">
        <v>81</v>
      </c>
      <c r="D544" s="54">
        <f>SUM(D545:D547)</f>
        <v>-410919</v>
      </c>
      <c r="E544" s="54">
        <f t="shared" ref="E544:F544" si="296">SUM(E545:E547)</f>
        <v>-318919.27</v>
      </c>
      <c r="F544" s="54">
        <f t="shared" si="296"/>
        <v>-180048.45</v>
      </c>
      <c r="G544" s="54">
        <f>F544-E544</f>
        <v>138870.82</v>
      </c>
      <c r="H544" s="9"/>
      <c r="I544" s="2"/>
    </row>
    <row r="545" spans="1:9" x14ac:dyDescent="0.25">
      <c r="A545" s="28"/>
      <c r="B545" s="28"/>
      <c r="C545" s="56" t="s">
        <v>89</v>
      </c>
      <c r="D545" s="52">
        <v>-22016</v>
      </c>
      <c r="E545" s="52">
        <f>D545-56118</f>
        <v>-78134</v>
      </c>
      <c r="F545" s="52">
        <v>-77092.28</v>
      </c>
      <c r="G545" s="52">
        <f t="shared" ref="G545:G549" si="297">F545-E545</f>
        <v>1041.7200000000012</v>
      </c>
      <c r="I545" s="2"/>
    </row>
    <row r="546" spans="1:9" x14ac:dyDescent="0.25">
      <c r="A546" s="28"/>
      <c r="B546" s="28"/>
      <c r="C546" s="56" t="s">
        <v>90</v>
      </c>
      <c r="D546" s="52">
        <v>-45023</v>
      </c>
      <c r="E546" s="52">
        <f>D546-24586.83</f>
        <v>-69609.83</v>
      </c>
      <c r="F546" s="52">
        <v>-37418.01</v>
      </c>
      <c r="G546" s="52">
        <f t="shared" si="297"/>
        <v>32191.82</v>
      </c>
      <c r="I546" s="2"/>
    </row>
    <row r="547" spans="1:9" ht="15.75" customHeight="1" x14ac:dyDescent="0.25">
      <c r="A547" s="28"/>
      <c r="B547" s="28"/>
      <c r="C547" s="56" t="s">
        <v>100</v>
      </c>
      <c r="D547" s="52">
        <v>-343880</v>
      </c>
      <c r="E547" s="52">
        <f>D547+172704.56</f>
        <v>-171175.44</v>
      </c>
      <c r="F547" s="52">
        <v>-65538.16</v>
      </c>
      <c r="G547" s="52">
        <f t="shared" si="297"/>
        <v>105637.28</v>
      </c>
      <c r="I547" s="2"/>
    </row>
    <row r="548" spans="1:9" ht="15.75" customHeight="1" x14ac:dyDescent="0.25">
      <c r="A548" s="28"/>
      <c r="B548" s="28"/>
      <c r="C548" s="59" t="s">
        <v>82</v>
      </c>
      <c r="D548" s="54">
        <f>D549</f>
        <v>0</v>
      </c>
      <c r="E548" s="54">
        <f>E549</f>
        <v>-228.86</v>
      </c>
      <c r="F548" s="54">
        <f>F549</f>
        <v>-228.86</v>
      </c>
      <c r="G548" s="54">
        <f t="shared" si="297"/>
        <v>0</v>
      </c>
      <c r="I548" s="2"/>
    </row>
    <row r="549" spans="1:9" ht="15.75" customHeight="1" x14ac:dyDescent="0.25">
      <c r="A549" s="28"/>
      <c r="B549" s="28"/>
      <c r="C549" s="28" t="s">
        <v>89</v>
      </c>
      <c r="D549" s="52"/>
      <c r="E549" s="52">
        <v>-228.86</v>
      </c>
      <c r="F549" s="52">
        <v>-228.86</v>
      </c>
      <c r="G549" s="52">
        <f t="shared" si="297"/>
        <v>0</v>
      </c>
      <c r="I549" s="2"/>
    </row>
    <row r="550" spans="1:9" x14ac:dyDescent="0.25">
      <c r="A550" s="51"/>
      <c r="B550" s="51" t="s">
        <v>88</v>
      </c>
      <c r="C550" s="51"/>
      <c r="D550" s="54">
        <f>SUM(D551:D553)</f>
        <v>-96442</v>
      </c>
      <c r="E550" s="54">
        <f>SUM(E551:E553)</f>
        <v>-118975.38</v>
      </c>
      <c r="F550" s="54">
        <f>SUM(F551:F553)</f>
        <v>-127843.45999999999</v>
      </c>
      <c r="G550" s="54">
        <f>F550-E550</f>
        <v>-8868.0799999999872</v>
      </c>
      <c r="I550" s="2"/>
    </row>
    <row r="551" spans="1:9" x14ac:dyDescent="0.25">
      <c r="A551" s="28"/>
      <c r="B551" s="28"/>
      <c r="C551" s="28" t="s">
        <v>89</v>
      </c>
      <c r="D551" s="53">
        <f>D555+D558+D561</f>
        <v>-60643</v>
      </c>
      <c r="E551" s="53">
        <f t="shared" ref="E551:F551" si="298">E555+E558+E561</f>
        <v>-57572.6</v>
      </c>
      <c r="F551" s="53">
        <f t="shared" si="298"/>
        <v>-52228.969999999994</v>
      </c>
      <c r="G551" s="53">
        <f t="shared" ref="G551:G553" si="299">F551-E551</f>
        <v>5343.6300000000047</v>
      </c>
      <c r="I551" s="2"/>
    </row>
    <row r="552" spans="1:9" x14ac:dyDescent="0.25">
      <c r="A552" s="28"/>
      <c r="B552" s="28"/>
      <c r="C552" s="28" t="s">
        <v>90</v>
      </c>
      <c r="D552" s="53">
        <f>D556+D559+D562</f>
        <v>-19421</v>
      </c>
      <c r="E552" s="53">
        <f t="shared" ref="E552:F552" si="300">E556+E559+E562</f>
        <v>-45024.78</v>
      </c>
      <c r="F552" s="53">
        <f t="shared" si="300"/>
        <v>-35417.300000000003</v>
      </c>
      <c r="G552" s="53">
        <f t="shared" si="299"/>
        <v>9607.4799999999959</v>
      </c>
      <c r="I552" s="2"/>
    </row>
    <row r="553" spans="1:9" x14ac:dyDescent="0.25">
      <c r="A553" s="28"/>
      <c r="B553" s="28"/>
      <c r="C553" s="28" t="s">
        <v>91</v>
      </c>
      <c r="D553" s="53">
        <f>D563</f>
        <v>-16378</v>
      </c>
      <c r="E553" s="53">
        <f t="shared" ref="E553:F553" si="301">E563</f>
        <v>-16378</v>
      </c>
      <c r="F553" s="53">
        <f t="shared" si="301"/>
        <v>-40197.19</v>
      </c>
      <c r="G553" s="53">
        <f t="shared" si="299"/>
        <v>-23819.190000000002</v>
      </c>
      <c r="I553" s="2"/>
    </row>
    <row r="554" spans="1:9" x14ac:dyDescent="0.25">
      <c r="A554" s="51"/>
      <c r="B554" s="51"/>
      <c r="C554" s="51" t="s">
        <v>79</v>
      </c>
      <c r="D554" s="55">
        <f>SUM(D555:D556)</f>
        <v>-44684</v>
      </c>
      <c r="E554" s="55">
        <f>SUM(E555:E556)</f>
        <v>-37051.269999999997</v>
      </c>
      <c r="F554" s="55">
        <f>SUM(F555:F556)</f>
        <v>-28780.079999999998</v>
      </c>
      <c r="G554" s="55">
        <f>F554-E554</f>
        <v>8271.1899999999987</v>
      </c>
      <c r="I554" s="2"/>
    </row>
    <row r="555" spans="1:9" x14ac:dyDescent="0.25">
      <c r="A555" s="28"/>
      <c r="B555" s="28"/>
      <c r="C555" s="28" t="s">
        <v>89</v>
      </c>
      <c r="D555" s="53">
        <v>-31176</v>
      </c>
      <c r="E555" s="53">
        <f>D555+7911.7</f>
        <v>-23264.3</v>
      </c>
      <c r="F555" s="53">
        <v>-21560.639999999999</v>
      </c>
      <c r="G555" s="53">
        <f t="shared" ref="G555:G569" si="302">F555-E555</f>
        <v>1703.6599999999999</v>
      </c>
      <c r="I555" s="2"/>
    </row>
    <row r="556" spans="1:9" x14ac:dyDescent="0.25">
      <c r="A556" s="28"/>
      <c r="B556" s="28"/>
      <c r="C556" s="28" t="s">
        <v>90</v>
      </c>
      <c r="D556" s="53">
        <v>-13508</v>
      </c>
      <c r="E556" s="53">
        <f>D556-278.97</f>
        <v>-13786.97</v>
      </c>
      <c r="F556" s="53">
        <v>-7219.44</v>
      </c>
      <c r="G556" s="53">
        <f t="shared" si="302"/>
        <v>6567.53</v>
      </c>
      <c r="I556" s="2"/>
    </row>
    <row r="557" spans="1:9" s="14" customFormat="1" x14ac:dyDescent="0.25">
      <c r="A557" s="51"/>
      <c r="B557" s="51"/>
      <c r="C557" s="51" t="s">
        <v>81</v>
      </c>
      <c r="D557" s="55">
        <f>SUM(D558:D559)</f>
        <v>-28304</v>
      </c>
      <c r="E557" s="55">
        <f t="shared" ref="E557:F557" si="303">SUM(E558:E559)</f>
        <v>-40578.93</v>
      </c>
      <c r="F557" s="55">
        <f t="shared" si="303"/>
        <v>-36459.979999999996</v>
      </c>
      <c r="G557" s="55">
        <f>F557-E557</f>
        <v>4118.9500000000044</v>
      </c>
      <c r="H557" s="9"/>
      <c r="I557" s="2"/>
    </row>
    <row r="558" spans="1:9" x14ac:dyDescent="0.25">
      <c r="A558" s="28"/>
      <c r="B558" s="28"/>
      <c r="C558" s="28" t="s">
        <v>89</v>
      </c>
      <c r="D558" s="53">
        <v>-23574</v>
      </c>
      <c r="E558" s="53">
        <f>D558+3546.83</f>
        <v>-20027.169999999998</v>
      </c>
      <c r="F558" s="53">
        <v>-16388.62</v>
      </c>
      <c r="G558" s="53">
        <f t="shared" ref="G558:G559" si="304">F558-E558</f>
        <v>3638.5499999999993</v>
      </c>
      <c r="I558" s="2"/>
    </row>
    <row r="559" spans="1:9" x14ac:dyDescent="0.25">
      <c r="A559" s="28"/>
      <c r="B559" s="28"/>
      <c r="C559" s="28" t="s">
        <v>90</v>
      </c>
      <c r="D559" s="53">
        <v>-4730</v>
      </c>
      <c r="E559" s="53">
        <f>D559-15821.76</f>
        <v>-20551.760000000002</v>
      </c>
      <c r="F559" s="53">
        <v>-20071.36</v>
      </c>
      <c r="G559" s="53">
        <f t="shared" si="304"/>
        <v>480.40000000000146</v>
      </c>
      <c r="I559" s="2"/>
    </row>
    <row r="560" spans="1:9" s="14" customFormat="1" x14ac:dyDescent="0.25">
      <c r="A560" s="51"/>
      <c r="B560" s="51"/>
      <c r="C560" s="51" t="s">
        <v>82</v>
      </c>
      <c r="D560" s="55">
        <f>SUM(D561:D562)</f>
        <v>-7076</v>
      </c>
      <c r="E560" s="55">
        <f t="shared" ref="E560:F560" si="305">SUM(E561:E562)</f>
        <v>-24967.18</v>
      </c>
      <c r="F560" s="55">
        <f t="shared" si="305"/>
        <v>-22406.21</v>
      </c>
      <c r="G560" s="55">
        <f>F560-E560</f>
        <v>2560.9700000000012</v>
      </c>
      <c r="H560" s="9"/>
      <c r="I560" s="2"/>
    </row>
    <row r="561" spans="1:9" x14ac:dyDescent="0.25">
      <c r="A561" s="28"/>
      <c r="B561" s="28"/>
      <c r="C561" s="28" t="s">
        <v>89</v>
      </c>
      <c r="D561" s="53">
        <v>-5893</v>
      </c>
      <c r="E561" s="53">
        <f>D561-8388.13</f>
        <v>-14281.13</v>
      </c>
      <c r="F561" s="53">
        <v>-14279.71</v>
      </c>
      <c r="G561" s="53">
        <f t="shared" ref="G561:G562" si="306">F561-E561</f>
        <v>1.4200000000000728</v>
      </c>
      <c r="I561" s="2"/>
    </row>
    <row r="562" spans="1:9" x14ac:dyDescent="0.25">
      <c r="A562" s="28"/>
      <c r="B562" s="28"/>
      <c r="C562" s="28" t="s">
        <v>90</v>
      </c>
      <c r="D562" s="53">
        <v>-1183</v>
      </c>
      <c r="E562" s="53">
        <f>D562-9503.05</f>
        <v>-10686.05</v>
      </c>
      <c r="F562" s="53">
        <v>-8126.5</v>
      </c>
      <c r="G562" s="53">
        <f t="shared" si="306"/>
        <v>2559.5499999999993</v>
      </c>
      <c r="I562" s="2"/>
    </row>
    <row r="563" spans="1:9" s="14" customFormat="1" x14ac:dyDescent="0.25">
      <c r="A563" s="51"/>
      <c r="B563" s="51"/>
      <c r="C563" s="51" t="s">
        <v>85</v>
      </c>
      <c r="D563" s="55">
        <v>-16378</v>
      </c>
      <c r="E563" s="55">
        <f t="shared" ref="E563" si="307">D563</f>
        <v>-16378</v>
      </c>
      <c r="F563" s="55">
        <v>-40197.19</v>
      </c>
      <c r="G563" s="55">
        <f t="shared" si="302"/>
        <v>-23819.190000000002</v>
      </c>
      <c r="H563" s="9"/>
      <c r="I563" s="2"/>
    </row>
    <row r="564" spans="1:9" s="14" customFormat="1" ht="15.75" x14ac:dyDescent="0.25">
      <c r="A564" s="39" t="s">
        <v>128</v>
      </c>
      <c r="B564" s="51"/>
      <c r="C564" s="51"/>
      <c r="D564" s="54">
        <f>SUM(D565:D569)</f>
        <v>-2967143</v>
      </c>
      <c r="E564" s="54">
        <f>SUM(E565:E569)</f>
        <v>-4074595.92</v>
      </c>
      <c r="F564" s="54">
        <f>SUM(F565:F569)</f>
        <v>-3413370.0300000007</v>
      </c>
      <c r="G564" s="54">
        <f t="shared" si="302"/>
        <v>661225.8899999992</v>
      </c>
      <c r="H564" s="9"/>
      <c r="I564" s="2"/>
    </row>
    <row r="565" spans="1:9" x14ac:dyDescent="0.25">
      <c r="A565" s="28"/>
      <c r="B565" s="28" t="s">
        <v>79</v>
      </c>
      <c r="C565" s="28"/>
      <c r="D565" s="52">
        <f>D575+D595</f>
        <v>-2421855</v>
      </c>
      <c r="E565" s="52">
        <f t="shared" ref="E565:F565" si="308">E575+E595</f>
        <v>-2652001.3200000003</v>
      </c>
      <c r="F565" s="52">
        <f t="shared" si="308"/>
        <v>-2550660.0900000003</v>
      </c>
      <c r="G565" s="52">
        <f t="shared" si="302"/>
        <v>101341.22999999998</v>
      </c>
      <c r="I565" s="2"/>
    </row>
    <row r="566" spans="1:9" x14ac:dyDescent="0.25">
      <c r="A566" s="28"/>
      <c r="B566" s="28" t="s">
        <v>80</v>
      </c>
      <c r="C566" s="28"/>
      <c r="D566" s="52">
        <f>D598+D580</f>
        <v>0</v>
      </c>
      <c r="E566" s="52">
        <f>E598+E580</f>
        <v>0</v>
      </c>
      <c r="F566" s="52">
        <f>F598+F580</f>
        <v>-30.93</v>
      </c>
      <c r="G566" s="52">
        <f t="shared" si="302"/>
        <v>-30.93</v>
      </c>
      <c r="I566" s="2"/>
    </row>
    <row r="567" spans="1:9" x14ac:dyDescent="0.25">
      <c r="A567" s="28"/>
      <c r="B567" s="28" t="s">
        <v>81</v>
      </c>
      <c r="C567" s="28"/>
      <c r="D567" s="52">
        <f>D582+D600</f>
        <v>-35880</v>
      </c>
      <c r="E567" s="52">
        <f>E582+E600</f>
        <v>-258155.66999999998</v>
      </c>
      <c r="F567" s="52">
        <f>F582+F600</f>
        <v>-160644.87</v>
      </c>
      <c r="G567" s="52">
        <f t="shared" si="302"/>
        <v>97510.799999999988</v>
      </c>
      <c r="I567" s="2"/>
    </row>
    <row r="568" spans="1:9" x14ac:dyDescent="0.25">
      <c r="A568" s="28"/>
      <c r="B568" s="28" t="s">
        <v>82</v>
      </c>
      <c r="C568" s="28"/>
      <c r="D568" s="52">
        <f>D586</f>
        <v>-367173</v>
      </c>
      <c r="E568" s="52">
        <f t="shared" ref="E568:F568" si="309">E586</f>
        <v>-1013733.6299999999</v>
      </c>
      <c r="F568" s="52">
        <f t="shared" si="309"/>
        <v>-546233.44000000006</v>
      </c>
      <c r="G568" s="52">
        <f t="shared" si="302"/>
        <v>467500.18999999983</v>
      </c>
      <c r="I568" s="2"/>
    </row>
    <row r="569" spans="1:9" x14ac:dyDescent="0.25">
      <c r="A569" s="28"/>
      <c r="B569" s="28" t="s">
        <v>85</v>
      </c>
      <c r="C569" s="28"/>
      <c r="D569" s="52">
        <f>D590+D602</f>
        <v>-142235</v>
      </c>
      <c r="E569" s="52">
        <f t="shared" ref="E569:F569" si="310">E590+E602</f>
        <v>-150705.29999999999</v>
      </c>
      <c r="F569" s="52">
        <f t="shared" si="310"/>
        <v>-155800.70000000001</v>
      </c>
      <c r="G569" s="52">
        <f t="shared" si="302"/>
        <v>-5095.4000000000233</v>
      </c>
      <c r="I569" s="2"/>
    </row>
    <row r="570" spans="1:9" x14ac:dyDescent="0.25">
      <c r="A570" s="51"/>
      <c r="B570" s="51" t="s">
        <v>129</v>
      </c>
      <c r="C570" s="51"/>
      <c r="D570" s="54">
        <f>SUM(D571:D574)</f>
        <v>-2482829</v>
      </c>
      <c r="E570" s="54">
        <f t="shared" ref="E570:F570" si="311">SUM(E571:E574)</f>
        <v>-3428984.83</v>
      </c>
      <c r="F570" s="54">
        <f t="shared" si="311"/>
        <v>-2815368.59</v>
      </c>
      <c r="G570" s="54">
        <f>F570-E570</f>
        <v>613616.24000000022</v>
      </c>
      <c r="I570" s="2"/>
    </row>
    <row r="571" spans="1:9" x14ac:dyDescent="0.25">
      <c r="A571" s="28"/>
      <c r="B571" s="28"/>
      <c r="C571" s="28" t="s">
        <v>89</v>
      </c>
      <c r="D571" s="52">
        <f>D576+D587+D583</f>
        <v>-1768158</v>
      </c>
      <c r="E571" s="52">
        <f>E576+E587+E583</f>
        <v>-2220870.2800000003</v>
      </c>
      <c r="F571" s="52">
        <f>F576+F587+F583</f>
        <v>-1883606.52</v>
      </c>
      <c r="G571" s="52">
        <f t="shared" ref="G571:G573" si="312">F571-E571</f>
        <v>337263.76000000024</v>
      </c>
      <c r="I571" s="2"/>
    </row>
    <row r="572" spans="1:9" x14ac:dyDescent="0.25">
      <c r="A572" s="28"/>
      <c r="B572" s="28"/>
      <c r="C572" s="28" t="s">
        <v>90</v>
      </c>
      <c r="D572" s="52">
        <f>D577+D584+D588</f>
        <v>-626172</v>
      </c>
      <c r="E572" s="52">
        <f t="shared" ref="E572:F572" si="313">E577+E584+E588</f>
        <v>-1030628.51</v>
      </c>
      <c r="F572" s="52">
        <f t="shared" si="313"/>
        <v>-808838.58000000007</v>
      </c>
      <c r="G572" s="52">
        <f t="shared" si="312"/>
        <v>221789.92999999993</v>
      </c>
      <c r="I572" s="2"/>
    </row>
    <row r="573" spans="1:9" x14ac:dyDescent="0.25">
      <c r="A573" s="28"/>
      <c r="B573" s="28"/>
      <c r="C573" s="28" t="s">
        <v>100</v>
      </c>
      <c r="D573" s="52">
        <f>D578+D585</f>
        <v>-109</v>
      </c>
      <c r="E573" s="52">
        <f>E578+E585</f>
        <v>-88959</v>
      </c>
      <c r="F573" s="52">
        <f>F578+F585</f>
        <v>-41982.17</v>
      </c>
      <c r="G573" s="52">
        <f t="shared" si="312"/>
        <v>46976.83</v>
      </c>
      <c r="I573" s="2"/>
    </row>
    <row r="574" spans="1:9" x14ac:dyDescent="0.25">
      <c r="A574" s="28"/>
      <c r="B574" s="28"/>
      <c r="C574" s="28" t="s">
        <v>91</v>
      </c>
      <c r="D574" s="52">
        <f>D590+D579+D581+D589</f>
        <v>-88390</v>
      </c>
      <c r="E574" s="52">
        <f>E590+E579+E581+E589</f>
        <v>-88527.040000000008</v>
      </c>
      <c r="F574" s="52">
        <f>F590+F579+F581+F589</f>
        <v>-80941.319999999992</v>
      </c>
      <c r="G574" s="52">
        <f t="shared" ref="G574" si="314">F574-E574</f>
        <v>7585.7200000000157</v>
      </c>
      <c r="I574" s="2"/>
    </row>
    <row r="575" spans="1:9" x14ac:dyDescent="0.25">
      <c r="A575" s="51"/>
      <c r="B575" s="51"/>
      <c r="C575" s="51" t="s">
        <v>79</v>
      </c>
      <c r="D575" s="54">
        <f>SUM(D576:D579)</f>
        <v>-1991386</v>
      </c>
      <c r="E575" s="54">
        <f>SUM(E576:E579)</f>
        <v>-2158897.5500000003</v>
      </c>
      <c r="F575" s="54">
        <f>SUM(F576:F579)</f>
        <v>-2117877.8200000003</v>
      </c>
      <c r="G575" s="54">
        <f>F575-E575</f>
        <v>41019.729999999981</v>
      </c>
      <c r="I575" s="2"/>
    </row>
    <row r="576" spans="1:9" x14ac:dyDescent="0.25">
      <c r="A576" s="28"/>
      <c r="B576" s="28"/>
      <c r="C576" s="28" t="s">
        <v>89</v>
      </c>
      <c r="D576" s="53">
        <v>-1446567</v>
      </c>
      <c r="E576" s="53">
        <f>D576-98276.62</f>
        <v>-1544843.62</v>
      </c>
      <c r="F576" s="53">
        <v>-1530401.84</v>
      </c>
      <c r="G576" s="53">
        <f t="shared" ref="G576:G581" si="315">F576-E576</f>
        <v>14441.780000000028</v>
      </c>
      <c r="I576" s="2"/>
    </row>
    <row r="577" spans="1:9" x14ac:dyDescent="0.25">
      <c r="A577" s="28"/>
      <c r="B577" s="28"/>
      <c r="C577" s="28" t="s">
        <v>90</v>
      </c>
      <c r="D577" s="53">
        <v>-544710</v>
      </c>
      <c r="E577" s="53">
        <f>D577-69155.6</f>
        <v>-613865.6</v>
      </c>
      <c r="F577" s="53">
        <v>-587287.30000000005</v>
      </c>
      <c r="G577" s="53">
        <f t="shared" si="315"/>
        <v>26578.29999999993</v>
      </c>
      <c r="I577" s="2"/>
    </row>
    <row r="578" spans="1:9" x14ac:dyDescent="0.25">
      <c r="A578" s="28"/>
      <c r="B578" s="28"/>
      <c r="C578" s="28" t="s">
        <v>100</v>
      </c>
      <c r="D578" s="53">
        <v>-109</v>
      </c>
      <c r="E578" s="53">
        <f t="shared" ref="E578" si="316">D578</f>
        <v>-109</v>
      </c>
      <c r="F578" s="53">
        <v>-109.35</v>
      </c>
      <c r="G578" s="53">
        <f t="shared" si="315"/>
        <v>-0.34999999999999432</v>
      </c>
      <c r="I578" s="2"/>
    </row>
    <row r="579" spans="1:9" x14ac:dyDescent="0.25">
      <c r="A579" s="28"/>
      <c r="B579" s="28"/>
      <c r="C579" s="28" t="s">
        <v>95</v>
      </c>
      <c r="D579" s="53">
        <v>0</v>
      </c>
      <c r="E579" s="53">
        <v>-79.33</v>
      </c>
      <c r="F579" s="53">
        <v>-79.33</v>
      </c>
      <c r="G579" s="53">
        <f t="shared" si="315"/>
        <v>0</v>
      </c>
      <c r="I579" s="2"/>
    </row>
    <row r="580" spans="1:9" x14ac:dyDescent="0.25">
      <c r="A580" s="28"/>
      <c r="B580" s="28"/>
      <c r="C580" s="59" t="s">
        <v>80</v>
      </c>
      <c r="D580" s="52">
        <f>D581</f>
        <v>0</v>
      </c>
      <c r="E580" s="52">
        <f>E581</f>
        <v>0</v>
      </c>
      <c r="F580" s="52">
        <f>F581</f>
        <v>-22.36</v>
      </c>
      <c r="G580" s="52">
        <f t="shared" si="315"/>
        <v>-22.36</v>
      </c>
      <c r="I580" s="2"/>
    </row>
    <row r="581" spans="1:9" x14ac:dyDescent="0.25">
      <c r="A581" s="28"/>
      <c r="B581" s="28"/>
      <c r="C581" s="56" t="s">
        <v>95</v>
      </c>
      <c r="D581" s="52">
        <v>0</v>
      </c>
      <c r="E581" s="52">
        <v>0</v>
      </c>
      <c r="F581" s="52">
        <v>-22.36</v>
      </c>
      <c r="G581" s="52">
        <f t="shared" si="315"/>
        <v>-22.36</v>
      </c>
      <c r="I581" s="2"/>
    </row>
    <row r="582" spans="1:9" s="14" customFormat="1" x14ac:dyDescent="0.25">
      <c r="A582" s="51"/>
      <c r="B582" s="51"/>
      <c r="C582" s="59" t="s">
        <v>81</v>
      </c>
      <c r="D582" s="54">
        <f>SUM(D583:D585)</f>
        <v>-35880</v>
      </c>
      <c r="E582" s="54">
        <f>SUM(E583:E585)</f>
        <v>-167963.65</v>
      </c>
      <c r="F582" s="54">
        <f>SUM(F583:F585)</f>
        <v>-70452.850000000006</v>
      </c>
      <c r="G582" s="54">
        <f>F582-E582</f>
        <v>97510.799999999988</v>
      </c>
      <c r="H582" s="9"/>
      <c r="I582" s="2"/>
    </row>
    <row r="583" spans="1:9" s="14" customFormat="1" x14ac:dyDescent="0.25">
      <c r="A583" s="51"/>
      <c r="B583" s="51"/>
      <c r="C583" s="56" t="s">
        <v>89</v>
      </c>
      <c r="D583" s="52">
        <v>0</v>
      </c>
      <c r="E583" s="52">
        <v>-14432.95</v>
      </c>
      <c r="F583" s="52">
        <v>-4010.97</v>
      </c>
      <c r="G583" s="52">
        <f>F583-E583</f>
        <v>10421.980000000001</v>
      </c>
      <c r="H583" s="9"/>
      <c r="I583" s="2"/>
    </row>
    <row r="584" spans="1:9" x14ac:dyDescent="0.25">
      <c r="A584" s="28"/>
      <c r="B584" s="28"/>
      <c r="C584" s="56" t="s">
        <v>90</v>
      </c>
      <c r="D584" s="52">
        <v>-35880</v>
      </c>
      <c r="E584" s="52">
        <f>D584-28800.7</f>
        <v>-64680.7</v>
      </c>
      <c r="F584" s="52">
        <v>-24569.06</v>
      </c>
      <c r="G584" s="52">
        <f t="shared" ref="G584:G585" si="317">F584-E584</f>
        <v>40111.64</v>
      </c>
      <c r="I584" s="2"/>
    </row>
    <row r="585" spans="1:9" x14ac:dyDescent="0.25">
      <c r="A585" s="28"/>
      <c r="B585" s="28"/>
      <c r="C585" s="56" t="s">
        <v>100</v>
      </c>
      <c r="D585" s="52">
        <v>0</v>
      </c>
      <c r="E585" s="52">
        <v>-88850</v>
      </c>
      <c r="F585" s="52">
        <v>-41872.82</v>
      </c>
      <c r="G585" s="52">
        <f t="shared" si="317"/>
        <v>46977.18</v>
      </c>
      <c r="I585" s="2"/>
    </row>
    <row r="586" spans="1:9" s="14" customFormat="1" x14ac:dyDescent="0.25">
      <c r="A586" s="51"/>
      <c r="B586" s="51"/>
      <c r="C586" s="59" t="s">
        <v>82</v>
      </c>
      <c r="D586" s="54">
        <f>SUM(D587:D589)</f>
        <v>-367173</v>
      </c>
      <c r="E586" s="54">
        <f>SUM(E587:E589)</f>
        <v>-1013733.6299999999</v>
      </c>
      <c r="F586" s="54">
        <f>SUM(F587:F589)</f>
        <v>-546233.44000000006</v>
      </c>
      <c r="G586" s="54">
        <f>F586-E586</f>
        <v>467500.18999999983</v>
      </c>
      <c r="H586" s="9"/>
      <c r="I586" s="2"/>
    </row>
    <row r="587" spans="1:9" x14ac:dyDescent="0.25">
      <c r="A587" s="28"/>
      <c r="B587" s="28"/>
      <c r="C587" s="56" t="s">
        <v>89</v>
      </c>
      <c r="D587" s="52">
        <v>-321591</v>
      </c>
      <c r="E587" s="52">
        <f>D587-340002.71</f>
        <v>-661593.71</v>
      </c>
      <c r="F587" s="52">
        <v>-349193.71</v>
      </c>
      <c r="G587" s="52">
        <f t="shared" ref="G587:G590" si="318">F587-E587</f>
        <v>312399.99999999994</v>
      </c>
      <c r="I587" s="2"/>
    </row>
    <row r="588" spans="1:9" x14ac:dyDescent="0.25">
      <c r="A588" s="28"/>
      <c r="B588" s="28"/>
      <c r="C588" s="56" t="s">
        <v>90</v>
      </c>
      <c r="D588" s="52">
        <v>-45582</v>
      </c>
      <c r="E588" s="52">
        <f>D588-306500.21</f>
        <v>-352082.21</v>
      </c>
      <c r="F588" s="52">
        <v>-196982.22</v>
      </c>
      <c r="G588" s="52">
        <f t="shared" si="318"/>
        <v>155099.99000000002</v>
      </c>
      <c r="I588" s="2"/>
    </row>
    <row r="589" spans="1:9" x14ac:dyDescent="0.25">
      <c r="A589" s="28"/>
      <c r="B589" s="28"/>
      <c r="C589" s="56" t="s">
        <v>95</v>
      </c>
      <c r="D589" s="52">
        <v>0</v>
      </c>
      <c r="E589" s="52">
        <v>-57.71</v>
      </c>
      <c r="F589" s="52">
        <v>-57.51</v>
      </c>
      <c r="G589" s="52">
        <f t="shared" si="318"/>
        <v>0.20000000000000284</v>
      </c>
      <c r="I589" s="2"/>
    </row>
    <row r="590" spans="1:9" s="14" customFormat="1" x14ac:dyDescent="0.25">
      <c r="A590" s="51"/>
      <c r="B590" s="51"/>
      <c r="C590" s="59" t="s">
        <v>85</v>
      </c>
      <c r="D590" s="54">
        <v>-88390</v>
      </c>
      <c r="E590" s="54">
        <f t="shared" ref="E590" si="319">D590</f>
        <v>-88390</v>
      </c>
      <c r="F590" s="54">
        <v>-80782.12</v>
      </c>
      <c r="G590" s="54">
        <f t="shared" si="318"/>
        <v>7607.8800000000047</v>
      </c>
      <c r="H590" s="9"/>
      <c r="I590" s="2"/>
    </row>
    <row r="591" spans="1:9" x14ac:dyDescent="0.25">
      <c r="A591" s="51"/>
      <c r="B591" s="51" t="s">
        <v>88</v>
      </c>
      <c r="C591" s="59"/>
      <c r="D591" s="54">
        <f>SUM(D592:D594)</f>
        <v>-484314</v>
      </c>
      <c r="E591" s="54">
        <f>SUM(E592:E594)</f>
        <v>-645611.09000000008</v>
      </c>
      <c r="F591" s="54">
        <f>SUM(F592:F594)</f>
        <v>-598001.44000000006</v>
      </c>
      <c r="G591" s="54">
        <f>F591-E591</f>
        <v>47609.650000000023</v>
      </c>
      <c r="I591" s="2"/>
    </row>
    <row r="592" spans="1:9" x14ac:dyDescent="0.25">
      <c r="A592" s="28"/>
      <c r="B592" s="28"/>
      <c r="C592" s="56" t="s">
        <v>89</v>
      </c>
      <c r="D592" s="52">
        <f>D596+D601</f>
        <v>-233224</v>
      </c>
      <c r="E592" s="52">
        <f>E596+E601</f>
        <v>-346995.37</v>
      </c>
      <c r="F592" s="52">
        <f>F596+F601</f>
        <v>-322701.5</v>
      </c>
      <c r="G592" s="52">
        <f t="shared" ref="G592:G594" si="320">F592-E592</f>
        <v>24293.869999999995</v>
      </c>
      <c r="I592" s="2"/>
    </row>
    <row r="593" spans="1:9" x14ac:dyDescent="0.25">
      <c r="A593" s="28"/>
      <c r="B593" s="28"/>
      <c r="C593" s="56" t="s">
        <v>90</v>
      </c>
      <c r="D593" s="52">
        <f>D597</f>
        <v>-197245</v>
      </c>
      <c r="E593" s="52">
        <f t="shared" ref="E593:F593" si="321">E597</f>
        <v>-236300.41999999998</v>
      </c>
      <c r="F593" s="52">
        <f t="shared" si="321"/>
        <v>-200272.79</v>
      </c>
      <c r="G593" s="52">
        <f t="shared" si="320"/>
        <v>36027.629999999976</v>
      </c>
      <c r="I593" s="2"/>
    </row>
    <row r="594" spans="1:9" x14ac:dyDescent="0.25">
      <c r="A594" s="28"/>
      <c r="B594" s="28"/>
      <c r="C594" s="56" t="s">
        <v>91</v>
      </c>
      <c r="D594" s="52">
        <f>D602+D599</f>
        <v>-53845</v>
      </c>
      <c r="E594" s="52">
        <f>E602+E599</f>
        <v>-62315.3</v>
      </c>
      <c r="F594" s="52">
        <f>F602+F599</f>
        <v>-75027.150000000009</v>
      </c>
      <c r="G594" s="52">
        <f t="shared" si="320"/>
        <v>-12711.850000000006</v>
      </c>
      <c r="I594" s="2"/>
    </row>
    <row r="595" spans="1:9" x14ac:dyDescent="0.25">
      <c r="A595" s="51"/>
      <c r="B595" s="51"/>
      <c r="C595" s="59" t="s">
        <v>79</v>
      </c>
      <c r="D595" s="54">
        <f>SUM(D596:D597)</f>
        <v>-430469</v>
      </c>
      <c r="E595" s="54">
        <f>SUM(E596:E597)</f>
        <v>-493103.77</v>
      </c>
      <c r="F595" s="54">
        <f>SUM(F596:F597)</f>
        <v>-432782.27</v>
      </c>
      <c r="G595" s="54">
        <f>F595-E595</f>
        <v>60321.5</v>
      </c>
      <c r="I595" s="2"/>
    </row>
    <row r="596" spans="1:9" x14ac:dyDescent="0.25">
      <c r="A596" s="28"/>
      <c r="B596" s="28"/>
      <c r="C596" s="28" t="s">
        <v>89</v>
      </c>
      <c r="D596" s="53">
        <v>-233224</v>
      </c>
      <c r="E596" s="53">
        <f>D596-23579.35</f>
        <v>-256803.35</v>
      </c>
      <c r="F596" s="53">
        <v>-232509.48</v>
      </c>
      <c r="G596" s="53">
        <f t="shared" ref="G596:G601" si="322">F596-E596</f>
        <v>24293.869999999995</v>
      </c>
      <c r="I596" s="2"/>
    </row>
    <row r="597" spans="1:9" x14ac:dyDescent="0.25">
      <c r="A597" s="28"/>
      <c r="B597" s="28"/>
      <c r="C597" s="56" t="s">
        <v>90</v>
      </c>
      <c r="D597" s="52">
        <v>-197245</v>
      </c>
      <c r="E597" s="52">
        <f>D597-39055.42</f>
        <v>-236300.41999999998</v>
      </c>
      <c r="F597" s="52">
        <v>-200272.79</v>
      </c>
      <c r="G597" s="52">
        <f t="shared" si="322"/>
        <v>36027.629999999976</v>
      </c>
      <c r="I597" s="2"/>
    </row>
    <row r="598" spans="1:9" x14ac:dyDescent="0.25">
      <c r="A598" s="28"/>
      <c r="B598" s="28"/>
      <c r="C598" s="59" t="s">
        <v>80</v>
      </c>
      <c r="D598" s="52">
        <f>D599</f>
        <v>0</v>
      </c>
      <c r="E598" s="52">
        <f>E599</f>
        <v>0</v>
      </c>
      <c r="F598" s="52">
        <f>F599</f>
        <v>-8.57</v>
      </c>
      <c r="G598" s="52">
        <f t="shared" si="322"/>
        <v>-8.57</v>
      </c>
      <c r="I598" s="2"/>
    </row>
    <row r="599" spans="1:9" x14ac:dyDescent="0.25">
      <c r="A599" s="28"/>
      <c r="B599" s="28"/>
      <c r="C599" s="56" t="s">
        <v>95</v>
      </c>
      <c r="D599" s="52">
        <v>0</v>
      </c>
      <c r="E599" s="52">
        <v>0</v>
      </c>
      <c r="F599" s="52">
        <v>-8.57</v>
      </c>
      <c r="G599" s="52">
        <f t="shared" si="322"/>
        <v>-8.57</v>
      </c>
      <c r="I599" s="2"/>
    </row>
    <row r="600" spans="1:9" x14ac:dyDescent="0.25">
      <c r="A600" s="28"/>
      <c r="B600" s="28"/>
      <c r="C600" s="59" t="s">
        <v>81</v>
      </c>
      <c r="D600" s="52">
        <f>D601</f>
        <v>0</v>
      </c>
      <c r="E600" s="52">
        <f>E601</f>
        <v>-90192.02</v>
      </c>
      <c r="F600" s="52">
        <f>F601</f>
        <v>-90192.02</v>
      </c>
      <c r="G600" s="52">
        <f t="shared" si="322"/>
        <v>0</v>
      </c>
      <c r="I600" s="2"/>
    </row>
    <row r="601" spans="1:9" x14ac:dyDescent="0.25">
      <c r="A601" s="28"/>
      <c r="B601" s="28"/>
      <c r="C601" s="56" t="s">
        <v>89</v>
      </c>
      <c r="D601" s="52">
        <v>0</v>
      </c>
      <c r="E601" s="52">
        <v>-90192.02</v>
      </c>
      <c r="F601" s="52">
        <v>-90192.02</v>
      </c>
      <c r="G601" s="52">
        <f t="shared" si="322"/>
        <v>0</v>
      </c>
      <c r="I601" s="2"/>
    </row>
    <row r="602" spans="1:9" s="14" customFormat="1" x14ac:dyDescent="0.25">
      <c r="A602" s="51"/>
      <c r="B602" s="51"/>
      <c r="C602" s="59" t="s">
        <v>85</v>
      </c>
      <c r="D602" s="54">
        <v>-53845</v>
      </c>
      <c r="E602" s="54">
        <f>D602-8469.3-1</f>
        <v>-62315.3</v>
      </c>
      <c r="F602" s="54">
        <v>-75018.58</v>
      </c>
      <c r="G602" s="54">
        <f t="shared" ref="G602:G608" si="323">F602-E602</f>
        <v>-12703.279999999999</v>
      </c>
      <c r="H602" s="9"/>
      <c r="I602" s="2"/>
    </row>
    <row r="603" spans="1:9" s="14" customFormat="1" ht="15.75" x14ac:dyDescent="0.25">
      <c r="A603" s="39" t="s">
        <v>130</v>
      </c>
      <c r="B603" s="51"/>
      <c r="C603" s="59"/>
      <c r="D603" s="54">
        <f>SUM(D604:D608)</f>
        <v>-1720050</v>
      </c>
      <c r="E603" s="54">
        <f>SUM(E604:E608)</f>
        <v>-1884043.8699999999</v>
      </c>
      <c r="F603" s="54">
        <f>SUM(F604:F608)</f>
        <v>-1681537.1199999996</v>
      </c>
      <c r="G603" s="54">
        <f t="shared" si="323"/>
        <v>202506.75000000023</v>
      </c>
      <c r="H603" s="9"/>
      <c r="I603" s="2"/>
    </row>
    <row r="604" spans="1:9" x14ac:dyDescent="0.25">
      <c r="A604" s="28"/>
      <c r="B604" s="28" t="s">
        <v>79</v>
      </c>
      <c r="C604" s="56"/>
      <c r="D604" s="52">
        <f>D611+D618+D635</f>
        <v>-1580581</v>
      </c>
      <c r="E604" s="52">
        <f t="shared" ref="E604:F604" si="324">E611+E618+E635</f>
        <v>-1602297.3499999999</v>
      </c>
      <c r="F604" s="52">
        <f t="shared" si="324"/>
        <v>-1524859.3299999996</v>
      </c>
      <c r="G604" s="52">
        <f t="shared" si="323"/>
        <v>77438.020000000251</v>
      </c>
      <c r="I604" s="2"/>
    </row>
    <row r="605" spans="1:9" x14ac:dyDescent="0.25">
      <c r="A605" s="28"/>
      <c r="B605" s="28" t="s">
        <v>80</v>
      </c>
      <c r="C605" s="56"/>
      <c r="D605" s="52">
        <f>D623+D638</f>
        <v>0</v>
      </c>
      <c r="E605" s="52">
        <f>E623+E638</f>
        <v>0</v>
      </c>
      <c r="F605" s="52">
        <f>F623+F638</f>
        <v>-61.46</v>
      </c>
      <c r="G605" s="52">
        <f t="shared" si="323"/>
        <v>-61.46</v>
      </c>
      <c r="I605" s="2"/>
    </row>
    <row r="606" spans="1:9" x14ac:dyDescent="0.25">
      <c r="A606" s="28"/>
      <c r="B606" s="28" t="s">
        <v>81</v>
      </c>
      <c r="C606" s="56"/>
      <c r="D606" s="52">
        <f>D625</f>
        <v>0</v>
      </c>
      <c r="E606" s="52">
        <f>E625</f>
        <v>-110558.96</v>
      </c>
      <c r="F606" s="52">
        <f>F625</f>
        <v>-49509.73</v>
      </c>
      <c r="G606" s="52">
        <f t="shared" si="323"/>
        <v>61049.23</v>
      </c>
      <c r="I606" s="2"/>
    </row>
    <row r="607" spans="1:9" x14ac:dyDescent="0.25">
      <c r="A607" s="28"/>
      <c r="B607" s="28" t="s">
        <v>82</v>
      </c>
      <c r="C607" s="56"/>
      <c r="D607" s="52">
        <f>D627</f>
        <v>-10000</v>
      </c>
      <c r="E607" s="52">
        <f t="shared" ref="E607:F607" si="325">E627</f>
        <v>-43996.57</v>
      </c>
      <c r="F607" s="52">
        <f t="shared" si="325"/>
        <v>-20397.059999999998</v>
      </c>
      <c r="G607" s="52">
        <f t="shared" si="323"/>
        <v>23599.510000000002</v>
      </c>
      <c r="I607" s="2"/>
    </row>
    <row r="608" spans="1:9" x14ac:dyDescent="0.25">
      <c r="A608" s="28"/>
      <c r="B608" s="28" t="s">
        <v>85</v>
      </c>
      <c r="C608" s="56"/>
      <c r="D608" s="52">
        <f>D640+D630</f>
        <v>-129469</v>
      </c>
      <c r="E608" s="52">
        <f>E640+E630</f>
        <v>-127190.99</v>
      </c>
      <c r="F608" s="52">
        <f>F640+F630</f>
        <v>-86709.540000000008</v>
      </c>
      <c r="G608" s="52">
        <f t="shared" si="323"/>
        <v>40481.449999999997</v>
      </c>
      <c r="I608" s="2"/>
    </row>
    <row r="609" spans="1:9" x14ac:dyDescent="0.25">
      <c r="A609" s="51"/>
      <c r="B609" s="51" t="s">
        <v>99</v>
      </c>
      <c r="C609" s="59"/>
      <c r="D609" s="54">
        <f>D610</f>
        <v>-3000</v>
      </c>
      <c r="E609" s="54">
        <f t="shared" ref="E609:F609" si="326">E610</f>
        <v>0</v>
      </c>
      <c r="F609" s="54">
        <f t="shared" si="326"/>
        <v>0</v>
      </c>
      <c r="G609" s="54">
        <f>F609-E609</f>
        <v>0</v>
      </c>
      <c r="I609" s="2"/>
    </row>
    <row r="610" spans="1:9" x14ac:dyDescent="0.25">
      <c r="A610" s="28"/>
      <c r="B610" s="28"/>
      <c r="C610" s="56" t="s">
        <v>90</v>
      </c>
      <c r="D610" s="52">
        <f>D612</f>
        <v>-3000</v>
      </c>
      <c r="E610" s="52">
        <f t="shared" ref="E610:F610" si="327">E612</f>
        <v>0</v>
      </c>
      <c r="F610" s="52">
        <f t="shared" si="327"/>
        <v>0</v>
      </c>
      <c r="G610" s="52">
        <f t="shared" ref="G610" si="328">F610-E610</f>
        <v>0</v>
      </c>
      <c r="I610" s="2"/>
    </row>
    <row r="611" spans="1:9" x14ac:dyDescent="0.25">
      <c r="A611" s="51"/>
      <c r="B611" s="51"/>
      <c r="C611" s="59" t="s">
        <v>79</v>
      </c>
      <c r="D611" s="54">
        <f>D612</f>
        <v>-3000</v>
      </c>
      <c r="E611" s="54">
        <f t="shared" ref="E611:F611" si="329">E612</f>
        <v>0</v>
      </c>
      <c r="F611" s="54">
        <f t="shared" si="329"/>
        <v>0</v>
      </c>
      <c r="G611" s="54">
        <f>F611-E611</f>
        <v>0</v>
      </c>
      <c r="I611" s="2"/>
    </row>
    <row r="612" spans="1:9" x14ac:dyDescent="0.25">
      <c r="A612" s="28"/>
      <c r="B612" s="28"/>
      <c r="C612" s="56" t="s">
        <v>90</v>
      </c>
      <c r="D612" s="52">
        <v>-3000</v>
      </c>
      <c r="E612" s="52">
        <f>D612+3000</f>
        <v>0</v>
      </c>
      <c r="F612" s="52">
        <v>0</v>
      </c>
      <c r="G612" s="52">
        <f t="shared" ref="G612" si="330">F612-E612</f>
        <v>0</v>
      </c>
      <c r="I612" s="2"/>
    </row>
    <row r="613" spans="1:9" x14ac:dyDescent="0.25">
      <c r="A613" s="51"/>
      <c r="B613" s="51" t="s">
        <v>129</v>
      </c>
      <c r="C613" s="59"/>
      <c r="D613" s="54">
        <f>SUM(D614:D617)</f>
        <v>-1199670</v>
      </c>
      <c r="E613" s="54">
        <f t="shared" ref="E613" si="331">SUM(E614:E617)</f>
        <v>-1341616.8199999998</v>
      </c>
      <c r="F613" s="54">
        <f t="shared" ref="F613" si="332">SUM(F614:F617)</f>
        <v>-1230552.21</v>
      </c>
      <c r="G613" s="54">
        <f>F613-E613</f>
        <v>111064.60999999987</v>
      </c>
      <c r="I613" s="2"/>
    </row>
    <row r="614" spans="1:9" x14ac:dyDescent="0.25">
      <c r="A614" s="28"/>
      <c r="B614" s="28"/>
      <c r="C614" s="56" t="s">
        <v>89</v>
      </c>
      <c r="D614" s="52">
        <f>D619+D628+D626</f>
        <v>-1042876</v>
      </c>
      <c r="E614" s="52">
        <f>E619+E628+E626</f>
        <v>-1126805.8399999999</v>
      </c>
      <c r="F614" s="52">
        <f>F619+F628+F626</f>
        <v>-1029716.7599999999</v>
      </c>
      <c r="G614" s="52">
        <f t="shared" ref="G614:G617" si="333">F614-E614</f>
        <v>97089.079999999958</v>
      </c>
      <c r="I614" s="2"/>
    </row>
    <row r="615" spans="1:9" x14ac:dyDescent="0.25">
      <c r="A615" s="28"/>
      <c r="B615" s="28"/>
      <c r="C615" s="56" t="s">
        <v>90</v>
      </c>
      <c r="D615" s="52">
        <f>D620+D629</f>
        <v>-155488</v>
      </c>
      <c r="E615" s="52">
        <f>E620+E629</f>
        <v>-213493.53</v>
      </c>
      <c r="F615" s="52">
        <f>F620+F629</f>
        <v>-199895.93</v>
      </c>
      <c r="G615" s="52">
        <f t="shared" si="333"/>
        <v>13597.600000000006</v>
      </c>
      <c r="I615" s="2"/>
    </row>
    <row r="616" spans="1:9" x14ac:dyDescent="0.25">
      <c r="A616" s="28"/>
      <c r="B616" s="28"/>
      <c r="C616" s="56" t="s">
        <v>100</v>
      </c>
      <c r="D616" s="52">
        <f>D621</f>
        <v>-536</v>
      </c>
      <c r="E616" s="52">
        <f t="shared" ref="E616:F616" si="334">E621</f>
        <v>-536</v>
      </c>
      <c r="F616" s="52">
        <f t="shared" si="334"/>
        <v>-56.17</v>
      </c>
      <c r="G616" s="52">
        <f t="shared" si="333"/>
        <v>479.83</v>
      </c>
      <c r="I616" s="2"/>
    </row>
    <row r="617" spans="1:9" x14ac:dyDescent="0.25">
      <c r="A617" s="28"/>
      <c r="B617" s="28"/>
      <c r="C617" s="56" t="s">
        <v>91</v>
      </c>
      <c r="D617" s="52">
        <f>D622+D624+D630</f>
        <v>-770</v>
      </c>
      <c r="E617" s="52">
        <f>E622+E624+E630</f>
        <v>-781.45</v>
      </c>
      <c r="F617" s="52">
        <f>F622+F624+F630</f>
        <v>-883.35000000000014</v>
      </c>
      <c r="G617" s="52">
        <f t="shared" si="333"/>
        <v>-101.90000000000009</v>
      </c>
      <c r="I617" s="2"/>
    </row>
    <row r="618" spans="1:9" x14ac:dyDescent="0.25">
      <c r="A618" s="51"/>
      <c r="B618" s="51"/>
      <c r="C618" s="59" t="s">
        <v>79</v>
      </c>
      <c r="D618" s="54">
        <f>SUM(D619:D622)</f>
        <v>-1189670</v>
      </c>
      <c r="E618" s="54">
        <f t="shared" ref="E618:F618" si="335">SUM(E619:E622)</f>
        <v>-1187061.2899999998</v>
      </c>
      <c r="F618" s="54">
        <f t="shared" si="335"/>
        <v>-1160543.5099999998</v>
      </c>
      <c r="G618" s="54">
        <f>F618-E618</f>
        <v>26517.780000000028</v>
      </c>
      <c r="I618" s="2"/>
    </row>
    <row r="619" spans="1:9" x14ac:dyDescent="0.25">
      <c r="A619" s="28"/>
      <c r="B619" s="28"/>
      <c r="C619" s="56" t="s">
        <v>89</v>
      </c>
      <c r="D619" s="52">
        <v>-1032876</v>
      </c>
      <c r="E619" s="52">
        <f>D619+55470.31</f>
        <v>-977405.69</v>
      </c>
      <c r="F619" s="52">
        <v>-962565.84</v>
      </c>
      <c r="G619" s="52">
        <f t="shared" ref="G619:G621" si="336">F619-E619</f>
        <v>14839.849999999977</v>
      </c>
      <c r="I619" s="2"/>
    </row>
    <row r="620" spans="1:9" x14ac:dyDescent="0.25">
      <c r="A620" s="28"/>
      <c r="B620" s="28"/>
      <c r="C620" s="56" t="s">
        <v>90</v>
      </c>
      <c r="D620" s="52">
        <v>-155488</v>
      </c>
      <c r="E620" s="52">
        <f>D620-52850.15</f>
        <v>-208338.15</v>
      </c>
      <c r="F620" s="52">
        <v>-197140.06</v>
      </c>
      <c r="G620" s="52">
        <f t="shared" si="336"/>
        <v>11198.089999999997</v>
      </c>
      <c r="I620" s="2"/>
    </row>
    <row r="621" spans="1:9" x14ac:dyDescent="0.25">
      <c r="A621" s="28"/>
      <c r="B621" s="28"/>
      <c r="C621" s="56" t="s">
        <v>100</v>
      </c>
      <c r="D621" s="52">
        <v>-536</v>
      </c>
      <c r="E621" s="52">
        <f t="shared" ref="E621" si="337">D621</f>
        <v>-536</v>
      </c>
      <c r="F621" s="52">
        <v>-56.17</v>
      </c>
      <c r="G621" s="52">
        <f t="shared" si="336"/>
        <v>479.83</v>
      </c>
      <c r="I621" s="2"/>
    </row>
    <row r="622" spans="1:9" x14ac:dyDescent="0.25">
      <c r="A622" s="28"/>
      <c r="B622" s="28"/>
      <c r="C622" s="56" t="s">
        <v>95</v>
      </c>
      <c r="D622" s="52">
        <v>-770</v>
      </c>
      <c r="E622" s="52">
        <f>D622-11.45</f>
        <v>-781.45</v>
      </c>
      <c r="F622" s="52">
        <v>-781.44</v>
      </c>
      <c r="G622" s="52">
        <f t="shared" ref="G622:G626" si="338">F622-E622</f>
        <v>9.9999999999909051E-3</v>
      </c>
      <c r="I622" s="2"/>
    </row>
    <row r="623" spans="1:9" x14ac:dyDescent="0.25">
      <c r="A623" s="28"/>
      <c r="B623" s="28"/>
      <c r="C623" s="59" t="s">
        <v>80</v>
      </c>
      <c r="D623" s="52">
        <f>D624</f>
        <v>0</v>
      </c>
      <c r="E623" s="52">
        <f>E624</f>
        <v>0</v>
      </c>
      <c r="F623" s="52">
        <f>F624</f>
        <v>-52.58</v>
      </c>
      <c r="G623" s="52">
        <f t="shared" si="338"/>
        <v>-52.58</v>
      </c>
      <c r="I623" s="2"/>
    </row>
    <row r="624" spans="1:9" x14ac:dyDescent="0.25">
      <c r="A624" s="28"/>
      <c r="B624" s="28"/>
      <c r="C624" s="28" t="s">
        <v>95</v>
      </c>
      <c r="D624" s="53">
        <v>0</v>
      </c>
      <c r="E624" s="53">
        <v>0</v>
      </c>
      <c r="F624" s="53">
        <v>-52.58</v>
      </c>
      <c r="G624" s="53">
        <f t="shared" si="338"/>
        <v>-52.58</v>
      </c>
      <c r="I624" s="2"/>
    </row>
    <row r="625" spans="1:9" x14ac:dyDescent="0.25">
      <c r="A625" s="28"/>
      <c r="B625" s="28"/>
      <c r="C625" s="59" t="s">
        <v>81</v>
      </c>
      <c r="D625" s="52">
        <f>D626</f>
        <v>0</v>
      </c>
      <c r="E625" s="52">
        <f>E626</f>
        <v>-110558.96</v>
      </c>
      <c r="F625" s="52">
        <f>F626</f>
        <v>-49509.73</v>
      </c>
      <c r="G625" s="52">
        <f t="shared" si="338"/>
        <v>61049.23</v>
      </c>
      <c r="I625" s="2"/>
    </row>
    <row r="626" spans="1:9" x14ac:dyDescent="0.25">
      <c r="A626" s="28"/>
      <c r="B626" s="28"/>
      <c r="C626" s="56" t="s">
        <v>89</v>
      </c>
      <c r="D626" s="52">
        <v>0</v>
      </c>
      <c r="E626" s="52">
        <v>-110558.96</v>
      </c>
      <c r="F626" s="52">
        <v>-49509.73</v>
      </c>
      <c r="G626" s="52">
        <f t="shared" si="338"/>
        <v>61049.23</v>
      </c>
      <c r="I626" s="2"/>
    </row>
    <row r="627" spans="1:9" s="14" customFormat="1" x14ac:dyDescent="0.25">
      <c r="A627" s="51"/>
      <c r="B627" s="51"/>
      <c r="C627" s="59" t="s">
        <v>82</v>
      </c>
      <c r="D627" s="54">
        <f>SUM(D628:D629)</f>
        <v>-10000</v>
      </c>
      <c r="E627" s="54">
        <f>SUM(E628:E629)</f>
        <v>-43996.57</v>
      </c>
      <c r="F627" s="54">
        <f>SUM(F628:F629)</f>
        <v>-20397.059999999998</v>
      </c>
      <c r="G627" s="54">
        <f>F627-E627</f>
        <v>23599.510000000002</v>
      </c>
      <c r="H627" s="9"/>
      <c r="I627" s="2"/>
    </row>
    <row r="628" spans="1:9" x14ac:dyDescent="0.25">
      <c r="A628" s="28"/>
      <c r="B628" s="28"/>
      <c r="C628" s="56" t="s">
        <v>89</v>
      </c>
      <c r="D628" s="52">
        <v>-10000</v>
      </c>
      <c r="E628" s="52">
        <f>D628-28841.19</f>
        <v>-38841.19</v>
      </c>
      <c r="F628" s="52">
        <v>-17641.189999999999</v>
      </c>
      <c r="G628" s="52">
        <f t="shared" ref="G628:G630" si="339">F628-E628</f>
        <v>21200.000000000004</v>
      </c>
      <c r="I628" s="2"/>
    </row>
    <row r="629" spans="1:9" x14ac:dyDescent="0.25">
      <c r="A629" s="28"/>
      <c r="B629" s="28"/>
      <c r="C629" s="56" t="s">
        <v>90</v>
      </c>
      <c r="D629" s="52">
        <v>0</v>
      </c>
      <c r="E629" s="52">
        <v>-5155.38</v>
      </c>
      <c r="F629" s="52">
        <v>-2755.87</v>
      </c>
      <c r="G629" s="52">
        <f t="shared" si="339"/>
        <v>2399.5100000000002</v>
      </c>
      <c r="I629" s="2"/>
    </row>
    <row r="630" spans="1:9" x14ac:dyDescent="0.25">
      <c r="A630" s="28"/>
      <c r="B630" s="28"/>
      <c r="C630" s="59" t="s">
        <v>85</v>
      </c>
      <c r="D630" s="52">
        <v>0</v>
      </c>
      <c r="E630" s="52">
        <v>0</v>
      </c>
      <c r="F630" s="52">
        <v>-49.33</v>
      </c>
      <c r="G630" s="52">
        <f t="shared" si="339"/>
        <v>-49.33</v>
      </c>
      <c r="I630" s="2"/>
    </row>
    <row r="631" spans="1:9" x14ac:dyDescent="0.25">
      <c r="A631" s="51"/>
      <c r="B631" s="51" t="s">
        <v>88</v>
      </c>
      <c r="C631" s="59"/>
      <c r="D631" s="54">
        <f>SUM(D632:D634)</f>
        <v>-517380</v>
      </c>
      <c r="E631" s="54">
        <f>SUM(E632:E634)</f>
        <v>-542427.05000000005</v>
      </c>
      <c r="F631" s="54">
        <f>SUM(F632:F634)</f>
        <v>-450984.91</v>
      </c>
      <c r="G631" s="54">
        <f>F631-E631</f>
        <v>91442.140000000072</v>
      </c>
      <c r="I631" s="2"/>
    </row>
    <row r="632" spans="1:9" x14ac:dyDescent="0.25">
      <c r="A632" s="28"/>
      <c r="B632" s="28"/>
      <c r="C632" s="56" t="s">
        <v>89</v>
      </c>
      <c r="D632" s="52">
        <f>D636</f>
        <v>-244357</v>
      </c>
      <c r="E632" s="52">
        <f t="shared" ref="E632:F632" si="340">E636</f>
        <v>-221891.08000000002</v>
      </c>
      <c r="F632" s="52">
        <f t="shared" si="340"/>
        <v>-199001.24</v>
      </c>
      <c r="G632" s="52">
        <f t="shared" ref="G632:G634" si="341">F632-E632</f>
        <v>22889.840000000026</v>
      </c>
      <c r="I632" s="2"/>
    </row>
    <row r="633" spans="1:9" x14ac:dyDescent="0.25">
      <c r="A633" s="28"/>
      <c r="B633" s="28"/>
      <c r="C633" s="56" t="s">
        <v>90</v>
      </c>
      <c r="D633" s="52">
        <f>D637</f>
        <v>-143554</v>
      </c>
      <c r="E633" s="52">
        <f t="shared" ref="E633:F633" si="342">E637</f>
        <v>-193344.98</v>
      </c>
      <c r="F633" s="52">
        <f t="shared" si="342"/>
        <v>-165314.57999999999</v>
      </c>
      <c r="G633" s="52">
        <f t="shared" si="341"/>
        <v>28030.400000000023</v>
      </c>
      <c r="I633" s="2"/>
    </row>
    <row r="634" spans="1:9" x14ac:dyDescent="0.25">
      <c r="A634" s="28"/>
      <c r="B634" s="28"/>
      <c r="C634" s="56" t="s">
        <v>91</v>
      </c>
      <c r="D634" s="52">
        <f>D640+D639</f>
        <v>-129469</v>
      </c>
      <c r="E634" s="52">
        <f>E640+E639</f>
        <v>-127190.99</v>
      </c>
      <c r="F634" s="52">
        <f>F640+F639</f>
        <v>-86669.090000000011</v>
      </c>
      <c r="G634" s="52">
        <f t="shared" si="341"/>
        <v>40521.899999999994</v>
      </c>
      <c r="I634" s="2"/>
    </row>
    <row r="635" spans="1:9" x14ac:dyDescent="0.25">
      <c r="A635" s="51"/>
      <c r="B635" s="51"/>
      <c r="C635" s="59" t="s">
        <v>79</v>
      </c>
      <c r="D635" s="54">
        <f>SUM(D636:D637)</f>
        <v>-387911</v>
      </c>
      <c r="E635" s="54">
        <f>SUM(E636:E637)</f>
        <v>-415236.06000000006</v>
      </c>
      <c r="F635" s="54">
        <f>SUM(F636:F637)</f>
        <v>-364315.81999999995</v>
      </c>
      <c r="G635" s="54">
        <f>F635-E635</f>
        <v>50920.240000000107</v>
      </c>
      <c r="I635" s="2"/>
    </row>
    <row r="636" spans="1:9" x14ac:dyDescent="0.25">
      <c r="A636" s="28"/>
      <c r="B636" s="28"/>
      <c r="C636" s="56" t="s">
        <v>89</v>
      </c>
      <c r="D636" s="52">
        <v>-244357</v>
      </c>
      <c r="E636" s="52">
        <f>D636+22465.92</f>
        <v>-221891.08000000002</v>
      </c>
      <c r="F636" s="52">
        <v>-199001.24</v>
      </c>
      <c r="G636" s="52">
        <f t="shared" ref="G636:G646" si="343">F636-E636</f>
        <v>22889.840000000026</v>
      </c>
      <c r="I636" s="2"/>
    </row>
    <row r="637" spans="1:9" x14ac:dyDescent="0.25">
      <c r="A637" s="28"/>
      <c r="B637" s="28"/>
      <c r="C637" s="56" t="s">
        <v>90</v>
      </c>
      <c r="D637" s="52">
        <v>-143554</v>
      </c>
      <c r="E637" s="52">
        <f>D637-49790.98</f>
        <v>-193344.98</v>
      </c>
      <c r="F637" s="52">
        <v>-165314.57999999999</v>
      </c>
      <c r="G637" s="52">
        <f t="shared" si="343"/>
        <v>28030.400000000023</v>
      </c>
      <c r="I637" s="2"/>
    </row>
    <row r="638" spans="1:9" x14ac:dyDescent="0.25">
      <c r="A638" s="28"/>
      <c r="B638" s="28"/>
      <c r="C638" s="59" t="s">
        <v>80</v>
      </c>
      <c r="D638" s="53">
        <f>D639</f>
        <v>0</v>
      </c>
      <c r="E638" s="53">
        <f>E639</f>
        <v>0</v>
      </c>
      <c r="F638" s="53">
        <f>F639</f>
        <v>-8.8800000000000008</v>
      </c>
      <c r="G638" s="53">
        <f t="shared" si="343"/>
        <v>-8.8800000000000008</v>
      </c>
      <c r="I638" s="2"/>
    </row>
    <row r="639" spans="1:9" x14ac:dyDescent="0.25">
      <c r="A639" s="28"/>
      <c r="B639" s="28"/>
      <c r="C639" s="28" t="s">
        <v>95</v>
      </c>
      <c r="D639" s="53">
        <v>0</v>
      </c>
      <c r="E639" s="53">
        <v>0</v>
      </c>
      <c r="F639" s="53">
        <v>-8.8800000000000008</v>
      </c>
      <c r="G639" s="53">
        <f t="shared" si="343"/>
        <v>-8.8800000000000008</v>
      </c>
      <c r="I639" s="2"/>
    </row>
    <row r="640" spans="1:9" s="14" customFormat="1" x14ac:dyDescent="0.25">
      <c r="A640" s="51"/>
      <c r="B640" s="51"/>
      <c r="C640" s="51" t="s">
        <v>85</v>
      </c>
      <c r="D640" s="55">
        <v>-129469</v>
      </c>
      <c r="E640" s="55">
        <f>D640+2278.01</f>
        <v>-127190.99</v>
      </c>
      <c r="F640" s="55">
        <v>-86660.21</v>
      </c>
      <c r="G640" s="55">
        <f t="shared" si="343"/>
        <v>40530.78</v>
      </c>
      <c r="H640" s="9"/>
      <c r="I640" s="2"/>
    </row>
    <row r="641" spans="1:9" s="14" customFormat="1" ht="15.75" x14ac:dyDescent="0.25">
      <c r="A641" s="39" t="s">
        <v>131</v>
      </c>
      <c r="B641" s="51"/>
      <c r="C641" s="51"/>
      <c r="D641" s="54">
        <f>SUM(D642:D646)</f>
        <v>-5027046</v>
      </c>
      <c r="E641" s="54">
        <f>SUM(E642:E646)</f>
        <v>-4825749.84</v>
      </c>
      <c r="F641" s="54">
        <f>SUM(F642:F646)</f>
        <v>-4353187.42</v>
      </c>
      <c r="G641" s="54">
        <f t="shared" si="343"/>
        <v>472562.41999999993</v>
      </c>
      <c r="H641" s="9"/>
      <c r="I641" s="2"/>
    </row>
    <row r="642" spans="1:9" x14ac:dyDescent="0.25">
      <c r="A642" s="28"/>
      <c r="B642" s="28" t="s">
        <v>79</v>
      </c>
      <c r="C642" s="28"/>
      <c r="D642" s="52">
        <f>D652+D668</f>
        <v>-3034304</v>
      </c>
      <c r="E642" s="52">
        <f t="shared" ref="E642:F642" si="344">E652+E668</f>
        <v>-3086111.29</v>
      </c>
      <c r="F642" s="52">
        <f t="shared" si="344"/>
        <v>-2916585.84</v>
      </c>
      <c r="G642" s="52">
        <f t="shared" si="343"/>
        <v>169525.45000000019</v>
      </c>
      <c r="I642" s="2"/>
    </row>
    <row r="643" spans="1:9" x14ac:dyDescent="0.25">
      <c r="A643" s="28"/>
      <c r="B643" s="28" t="s">
        <v>80</v>
      </c>
      <c r="C643" s="28"/>
      <c r="D643" s="52">
        <f>D657+D671</f>
        <v>0</v>
      </c>
      <c r="E643" s="52">
        <f>E657+E671</f>
        <v>0</v>
      </c>
      <c r="F643" s="52">
        <f>F657+F671</f>
        <v>-74.53</v>
      </c>
      <c r="G643" s="52">
        <f t="shared" si="343"/>
        <v>-74.53</v>
      </c>
      <c r="I643" s="2"/>
    </row>
    <row r="644" spans="1:9" x14ac:dyDescent="0.25">
      <c r="A644" s="28"/>
      <c r="B644" s="28" t="s">
        <v>81</v>
      </c>
      <c r="C644" s="28"/>
      <c r="D644" s="52">
        <f>D673</f>
        <v>0</v>
      </c>
      <c r="E644" s="52">
        <f>E673</f>
        <v>-10376.57</v>
      </c>
      <c r="F644" s="52">
        <f>F673</f>
        <v>-10376.57</v>
      </c>
      <c r="G644" s="52">
        <f t="shared" si="343"/>
        <v>0</v>
      </c>
      <c r="I644" s="2"/>
    </row>
    <row r="645" spans="1:9" x14ac:dyDescent="0.25">
      <c r="A645" s="28"/>
      <c r="B645" s="28" t="s">
        <v>82</v>
      </c>
      <c r="C645" s="28"/>
      <c r="D645" s="52">
        <f>D659</f>
        <v>-1773222</v>
      </c>
      <c r="E645" s="52">
        <f t="shared" ref="E645:F645" si="345">E659</f>
        <v>-1505019.85</v>
      </c>
      <c r="F645" s="52">
        <f t="shared" si="345"/>
        <v>-1192020.02</v>
      </c>
      <c r="G645" s="52">
        <f t="shared" si="343"/>
        <v>312999.83000000007</v>
      </c>
      <c r="I645" s="2"/>
    </row>
    <row r="646" spans="1:9" x14ac:dyDescent="0.25">
      <c r="A646" s="28"/>
      <c r="B646" s="28" t="s">
        <v>85</v>
      </c>
      <c r="C646" s="28"/>
      <c r="D646" s="52">
        <f>D663+D675</f>
        <v>-219520</v>
      </c>
      <c r="E646" s="52">
        <f t="shared" ref="E646:F646" si="346">E663+E675</f>
        <v>-224242.13</v>
      </c>
      <c r="F646" s="52">
        <f t="shared" si="346"/>
        <v>-234130.46000000002</v>
      </c>
      <c r="G646" s="52">
        <f t="shared" si="343"/>
        <v>-9888.3300000000163</v>
      </c>
      <c r="I646" s="2"/>
    </row>
    <row r="647" spans="1:9" x14ac:dyDescent="0.25">
      <c r="A647" s="51"/>
      <c r="B647" s="51" t="s">
        <v>129</v>
      </c>
      <c r="C647" s="51"/>
      <c r="D647" s="54">
        <f>SUM(D648:D651)</f>
        <v>-4509794</v>
      </c>
      <c r="E647" s="54">
        <f t="shared" ref="E647" si="347">SUM(E648:E651)</f>
        <v>-4107250.02</v>
      </c>
      <c r="F647" s="54">
        <f t="shared" ref="F647" si="348">SUM(F648:F651)</f>
        <v>-3676002.3600000003</v>
      </c>
      <c r="G647" s="54">
        <f>F647-E647</f>
        <v>431247.65999999968</v>
      </c>
      <c r="I647" s="2"/>
    </row>
    <row r="648" spans="1:9" x14ac:dyDescent="0.25">
      <c r="A648" s="28"/>
      <c r="B648" s="28"/>
      <c r="C648" s="28" t="s">
        <v>89</v>
      </c>
      <c r="D648" s="53">
        <f>D653+D660</f>
        <v>-3161357</v>
      </c>
      <c r="E648" s="53">
        <f t="shared" ref="E648:F648" si="349">E653+E660</f>
        <v>-2755602.17</v>
      </c>
      <c r="F648" s="53">
        <f t="shared" si="349"/>
        <v>-2639664.2400000002</v>
      </c>
      <c r="G648" s="53">
        <f t="shared" ref="G648:G651" si="350">F648-E648</f>
        <v>115937.9299999997</v>
      </c>
      <c r="I648" s="2"/>
    </row>
    <row r="649" spans="1:9" x14ac:dyDescent="0.25">
      <c r="A649" s="28"/>
      <c r="B649" s="28"/>
      <c r="C649" s="28" t="s">
        <v>90</v>
      </c>
      <c r="D649" s="53">
        <f>D654+D661</f>
        <v>-1231616</v>
      </c>
      <c r="E649" s="53">
        <f t="shared" ref="E649:F649" si="351">E654+E661</f>
        <v>-1234310.1400000001</v>
      </c>
      <c r="F649" s="53">
        <f t="shared" si="351"/>
        <v>-929256.12</v>
      </c>
      <c r="G649" s="53">
        <f t="shared" si="350"/>
        <v>305054.02000000014</v>
      </c>
      <c r="I649" s="2"/>
    </row>
    <row r="650" spans="1:9" x14ac:dyDescent="0.25">
      <c r="A650" s="28"/>
      <c r="B650" s="28"/>
      <c r="C650" s="28" t="s">
        <v>100</v>
      </c>
      <c r="D650" s="53">
        <f>D655</f>
        <v>-188</v>
      </c>
      <c r="E650" s="53">
        <f t="shared" ref="E650:F650" si="352">E655</f>
        <v>-188</v>
      </c>
      <c r="F650" s="53">
        <f t="shared" si="352"/>
        <v>-188.09</v>
      </c>
      <c r="G650" s="53">
        <f t="shared" si="350"/>
        <v>-9.0000000000003411E-2</v>
      </c>
      <c r="I650" s="2"/>
    </row>
    <row r="651" spans="1:9" x14ac:dyDescent="0.25">
      <c r="A651" s="28"/>
      <c r="B651" s="28"/>
      <c r="C651" s="28" t="s">
        <v>91</v>
      </c>
      <c r="D651" s="53">
        <f>D663+D656+D658+D662</f>
        <v>-116633</v>
      </c>
      <c r="E651" s="53">
        <f>E663+E656+E658+E662</f>
        <v>-117149.71</v>
      </c>
      <c r="F651" s="53">
        <f>F663+F656+F658+F662</f>
        <v>-106893.91</v>
      </c>
      <c r="G651" s="53">
        <f t="shared" si="350"/>
        <v>10255.800000000003</v>
      </c>
      <c r="I651" s="2"/>
    </row>
    <row r="652" spans="1:9" x14ac:dyDescent="0.25">
      <c r="A652" s="51"/>
      <c r="B652" s="51"/>
      <c r="C652" s="59" t="s">
        <v>79</v>
      </c>
      <c r="D652" s="54">
        <f>SUM(D653:D656)</f>
        <v>-2619939</v>
      </c>
      <c r="E652" s="54">
        <f>SUM(E653:E656)</f>
        <v>-2485597.17</v>
      </c>
      <c r="F652" s="54">
        <f>SUM(F653:F656)</f>
        <v>-2377604.69</v>
      </c>
      <c r="G652" s="54">
        <f>F652-E652</f>
        <v>107992.47999999998</v>
      </c>
      <c r="I652" s="2"/>
    </row>
    <row r="653" spans="1:9" x14ac:dyDescent="0.25">
      <c r="A653" s="28"/>
      <c r="B653" s="28"/>
      <c r="C653" s="56" t="s">
        <v>89</v>
      </c>
      <c r="D653" s="52">
        <v>-1721531</v>
      </c>
      <c r="E653" s="52">
        <f>D653+72712.83</f>
        <v>-1648818.17</v>
      </c>
      <c r="F653" s="52">
        <v>-1624880.06</v>
      </c>
      <c r="G653" s="52">
        <f t="shared" ref="G653:G658" si="353">F653-E653</f>
        <v>23938.10999999987</v>
      </c>
      <c r="I653" s="2"/>
    </row>
    <row r="654" spans="1:9" x14ac:dyDescent="0.25">
      <c r="A654" s="28"/>
      <c r="B654" s="28"/>
      <c r="C654" s="56" t="s">
        <v>90</v>
      </c>
      <c r="D654" s="52">
        <v>-898220</v>
      </c>
      <c r="E654" s="52">
        <f>D654+61897</f>
        <v>-836323</v>
      </c>
      <c r="F654" s="52">
        <v>-752269</v>
      </c>
      <c r="G654" s="52">
        <f t="shared" si="353"/>
        <v>84054</v>
      </c>
      <c r="I654" s="2"/>
    </row>
    <row r="655" spans="1:9" x14ac:dyDescent="0.25">
      <c r="A655" s="28"/>
      <c r="B655" s="28"/>
      <c r="C655" s="56" t="s">
        <v>100</v>
      </c>
      <c r="D655" s="52">
        <v>-188</v>
      </c>
      <c r="E655" s="52">
        <f t="shared" ref="E655" si="354">D655</f>
        <v>-188</v>
      </c>
      <c r="F655" s="52">
        <v>-188.09</v>
      </c>
      <c r="G655" s="52">
        <f t="shared" si="353"/>
        <v>-9.0000000000003411E-2</v>
      </c>
      <c r="I655" s="2"/>
    </row>
    <row r="656" spans="1:9" x14ac:dyDescent="0.25">
      <c r="A656" s="28"/>
      <c r="B656" s="28"/>
      <c r="C656" s="56" t="s">
        <v>95</v>
      </c>
      <c r="D656" s="52">
        <v>0</v>
      </c>
      <c r="E656" s="52">
        <v>-268</v>
      </c>
      <c r="F656" s="52">
        <v>-267.54000000000002</v>
      </c>
      <c r="G656" s="52">
        <f t="shared" si="353"/>
        <v>0.45999999999997954</v>
      </c>
      <c r="I656" s="2"/>
    </row>
    <row r="657" spans="1:9" x14ac:dyDescent="0.25">
      <c r="A657" s="28"/>
      <c r="B657" s="28"/>
      <c r="C657" s="59" t="s">
        <v>80</v>
      </c>
      <c r="D657" s="52">
        <f>D658</f>
        <v>0</v>
      </c>
      <c r="E657" s="52">
        <f>E658</f>
        <v>0</v>
      </c>
      <c r="F657" s="52">
        <f>F658</f>
        <v>-64.08</v>
      </c>
      <c r="G657" s="52">
        <f t="shared" si="353"/>
        <v>-64.08</v>
      </c>
      <c r="I657" s="2"/>
    </row>
    <row r="658" spans="1:9" x14ac:dyDescent="0.25">
      <c r="A658" s="28"/>
      <c r="B658" s="28"/>
      <c r="C658" s="56" t="s">
        <v>95</v>
      </c>
      <c r="D658" s="52">
        <v>0</v>
      </c>
      <c r="E658" s="52">
        <v>0</v>
      </c>
      <c r="F658" s="52">
        <v>-64.08</v>
      </c>
      <c r="G658" s="52">
        <f t="shared" si="353"/>
        <v>-64.08</v>
      </c>
      <c r="I658" s="2"/>
    </row>
    <row r="659" spans="1:9" s="14" customFormat="1" x14ac:dyDescent="0.25">
      <c r="A659" s="51"/>
      <c r="B659" s="51"/>
      <c r="C659" s="59" t="s">
        <v>82</v>
      </c>
      <c r="D659" s="54">
        <f>SUM(D660:D662)</f>
        <v>-1773222</v>
      </c>
      <c r="E659" s="54">
        <f>SUM(E660:E662)</f>
        <v>-1505019.85</v>
      </c>
      <c r="F659" s="54">
        <f>SUM(F660:F662)</f>
        <v>-1192020.02</v>
      </c>
      <c r="G659" s="54">
        <f>F659-E659</f>
        <v>312999.83000000007</v>
      </c>
      <c r="H659" s="9"/>
      <c r="I659" s="2"/>
    </row>
    <row r="660" spans="1:9" x14ac:dyDescent="0.25">
      <c r="A660" s="28"/>
      <c r="B660" s="28"/>
      <c r="C660" s="56" t="s">
        <v>89</v>
      </c>
      <c r="D660" s="52">
        <v>-1439826</v>
      </c>
      <c r="E660" s="52">
        <f>D660+333042</f>
        <v>-1106784</v>
      </c>
      <c r="F660" s="52">
        <v>-1014784.18</v>
      </c>
      <c r="G660" s="52">
        <f t="shared" ref="G660:G663" si="355">F660-E660</f>
        <v>91999.819999999949</v>
      </c>
      <c r="I660" s="2"/>
    </row>
    <row r="661" spans="1:9" x14ac:dyDescent="0.25">
      <c r="A661" s="28"/>
      <c r="B661" s="28"/>
      <c r="C661" s="56" t="s">
        <v>90</v>
      </c>
      <c r="D661" s="52">
        <v>-333396</v>
      </c>
      <c r="E661" s="52">
        <f>D661-64591.14</f>
        <v>-397987.14</v>
      </c>
      <c r="F661" s="52">
        <v>-176987.12</v>
      </c>
      <c r="G661" s="52">
        <f t="shared" si="355"/>
        <v>221000.02000000002</v>
      </c>
      <c r="I661" s="2"/>
    </row>
    <row r="662" spans="1:9" x14ac:dyDescent="0.25">
      <c r="A662" s="28"/>
      <c r="B662" s="28"/>
      <c r="C662" s="56" t="s">
        <v>95</v>
      </c>
      <c r="D662" s="52">
        <v>0</v>
      </c>
      <c r="E662" s="52">
        <v>-248.71</v>
      </c>
      <c r="F662" s="52">
        <v>-248.72</v>
      </c>
      <c r="G662" s="52">
        <f t="shared" si="355"/>
        <v>-9.9999999999909051E-3</v>
      </c>
      <c r="I662" s="2"/>
    </row>
    <row r="663" spans="1:9" s="14" customFormat="1" x14ac:dyDescent="0.25">
      <c r="A663" s="51"/>
      <c r="B663" s="51"/>
      <c r="C663" s="59" t="s">
        <v>85</v>
      </c>
      <c r="D663" s="54">
        <v>-116633</v>
      </c>
      <c r="E663" s="54">
        <f t="shared" ref="E663" si="356">D663</f>
        <v>-116633</v>
      </c>
      <c r="F663" s="54">
        <v>-106313.57</v>
      </c>
      <c r="G663" s="54">
        <f t="shared" si="355"/>
        <v>10319.429999999993</v>
      </c>
      <c r="H663" s="9"/>
      <c r="I663" s="2"/>
    </row>
    <row r="664" spans="1:9" x14ac:dyDescent="0.25">
      <c r="A664" s="51"/>
      <c r="B664" s="51" t="s">
        <v>88</v>
      </c>
      <c r="C664" s="59"/>
      <c r="D664" s="54">
        <f>SUM(D665:D667)</f>
        <v>-517252</v>
      </c>
      <c r="E664" s="54">
        <f>SUM(E665:E667)</f>
        <v>-718499.82</v>
      </c>
      <c r="F664" s="54">
        <f>SUM(F665:F667)</f>
        <v>-677185.05999999994</v>
      </c>
      <c r="G664" s="54">
        <f>F664-E664</f>
        <v>41314.760000000009</v>
      </c>
      <c r="I664" s="2"/>
    </row>
    <row r="665" spans="1:9" x14ac:dyDescent="0.25">
      <c r="A665" s="28"/>
      <c r="B665" s="28"/>
      <c r="C665" s="56" t="s">
        <v>89</v>
      </c>
      <c r="D665" s="52">
        <f>D669+D674</f>
        <v>-207561</v>
      </c>
      <c r="E665" s="52">
        <f>E669+E674</f>
        <v>-279115.2</v>
      </c>
      <c r="F665" s="52">
        <f>F669+F674</f>
        <v>-267572.46000000002</v>
      </c>
      <c r="G665" s="52">
        <f t="shared" ref="G665:G667" si="357">F665-E665</f>
        <v>11542.739999999991</v>
      </c>
      <c r="I665" s="2"/>
    </row>
    <row r="666" spans="1:9" x14ac:dyDescent="0.25">
      <c r="A666" s="28"/>
      <c r="B666" s="28"/>
      <c r="C666" s="56" t="s">
        <v>90</v>
      </c>
      <c r="D666" s="52">
        <f>D670</f>
        <v>-206804</v>
      </c>
      <c r="E666" s="52">
        <f t="shared" ref="E666:F666" si="358">E670</f>
        <v>-331775.49</v>
      </c>
      <c r="F666" s="52">
        <f t="shared" si="358"/>
        <v>-281785.26</v>
      </c>
      <c r="G666" s="52">
        <f t="shared" si="357"/>
        <v>49990.229999999981</v>
      </c>
      <c r="I666" s="2"/>
    </row>
    <row r="667" spans="1:9" x14ac:dyDescent="0.25">
      <c r="A667" s="28"/>
      <c r="B667" s="28"/>
      <c r="C667" s="56" t="s">
        <v>91</v>
      </c>
      <c r="D667" s="52">
        <f>D675+D672</f>
        <v>-102887</v>
      </c>
      <c r="E667" s="52">
        <f>E675+E672</f>
        <v>-107609.13</v>
      </c>
      <c r="F667" s="52">
        <f>F675+F672</f>
        <v>-127827.34</v>
      </c>
      <c r="G667" s="52">
        <f t="shared" si="357"/>
        <v>-20218.209999999992</v>
      </c>
      <c r="I667" s="2"/>
    </row>
    <row r="668" spans="1:9" x14ac:dyDescent="0.25">
      <c r="A668" s="51"/>
      <c r="B668" s="51"/>
      <c r="C668" s="51" t="s">
        <v>79</v>
      </c>
      <c r="D668" s="55">
        <f>SUM(D669:D670)</f>
        <v>-414365</v>
      </c>
      <c r="E668" s="55">
        <f>SUM(E669:E670)</f>
        <v>-600514.12</v>
      </c>
      <c r="F668" s="55">
        <f>SUM(F669:F670)</f>
        <v>-538981.15</v>
      </c>
      <c r="G668" s="55">
        <f>F668-E668</f>
        <v>61532.969999999972</v>
      </c>
      <c r="I668" s="2"/>
    </row>
    <row r="669" spans="1:9" x14ac:dyDescent="0.25">
      <c r="A669" s="28"/>
      <c r="B669" s="28"/>
      <c r="C669" s="28" t="s">
        <v>89</v>
      </c>
      <c r="D669" s="53">
        <v>-207561</v>
      </c>
      <c r="E669" s="53">
        <f>D669-61177.63</f>
        <v>-268738.63</v>
      </c>
      <c r="F669" s="53">
        <v>-257195.89</v>
      </c>
      <c r="G669" s="53">
        <f t="shared" ref="G669:G681" si="359">F669-E669</f>
        <v>11542.739999999991</v>
      </c>
      <c r="I669" s="2"/>
    </row>
    <row r="670" spans="1:9" x14ac:dyDescent="0.25">
      <c r="A670" s="28"/>
      <c r="B670" s="28"/>
      <c r="C670" s="28" t="s">
        <v>90</v>
      </c>
      <c r="D670" s="52">
        <v>-206804</v>
      </c>
      <c r="E670" s="53">
        <f>D670-124971.49</f>
        <v>-331775.49</v>
      </c>
      <c r="F670" s="53">
        <v>-281785.26</v>
      </c>
      <c r="G670" s="53">
        <f t="shared" si="359"/>
        <v>49990.229999999981</v>
      </c>
      <c r="I670" s="2"/>
    </row>
    <row r="671" spans="1:9" x14ac:dyDescent="0.25">
      <c r="A671" s="28"/>
      <c r="B671" s="28"/>
      <c r="C671" s="59" t="s">
        <v>80</v>
      </c>
      <c r="D671" s="52">
        <f>D672</f>
        <v>0</v>
      </c>
      <c r="E671" s="52">
        <f>E672</f>
        <v>0</v>
      </c>
      <c r="F671" s="52">
        <f>F672</f>
        <v>-10.45</v>
      </c>
      <c r="G671" s="52">
        <f t="shared" si="359"/>
        <v>-10.45</v>
      </c>
      <c r="I671" s="2"/>
    </row>
    <row r="672" spans="1:9" x14ac:dyDescent="0.25">
      <c r="A672" s="28"/>
      <c r="B672" s="28"/>
      <c r="C672" s="56" t="s">
        <v>95</v>
      </c>
      <c r="D672" s="52">
        <v>0</v>
      </c>
      <c r="E672" s="52">
        <v>0</v>
      </c>
      <c r="F672" s="52">
        <v>-10.45</v>
      </c>
      <c r="G672" s="52">
        <f t="shared" si="359"/>
        <v>-10.45</v>
      </c>
      <c r="I672" s="2"/>
    </row>
    <row r="673" spans="1:9" x14ac:dyDescent="0.25">
      <c r="A673" s="28"/>
      <c r="B673" s="28"/>
      <c r="C673" s="59" t="s">
        <v>81</v>
      </c>
      <c r="D673" s="52">
        <f>D674</f>
        <v>0</v>
      </c>
      <c r="E673" s="52">
        <f>E674</f>
        <v>-10376.57</v>
      </c>
      <c r="F673" s="52">
        <f>F674</f>
        <v>-10376.57</v>
      </c>
      <c r="G673" s="52">
        <f t="shared" si="359"/>
        <v>0</v>
      </c>
      <c r="I673" s="2"/>
    </row>
    <row r="674" spans="1:9" x14ac:dyDescent="0.25">
      <c r="A674" s="28"/>
      <c r="B674" s="28"/>
      <c r="C674" s="56" t="s">
        <v>89</v>
      </c>
      <c r="D674" s="52">
        <v>0</v>
      </c>
      <c r="E674" s="52">
        <v>-10376.57</v>
      </c>
      <c r="F674" s="52">
        <v>-10376.57</v>
      </c>
      <c r="G674" s="52">
        <f t="shared" si="359"/>
        <v>0</v>
      </c>
      <c r="I674" s="2"/>
    </row>
    <row r="675" spans="1:9" s="14" customFormat="1" x14ac:dyDescent="0.25">
      <c r="A675" s="51"/>
      <c r="B675" s="51"/>
      <c r="C675" s="59" t="s">
        <v>85</v>
      </c>
      <c r="D675" s="54">
        <v>-102887</v>
      </c>
      <c r="E675" s="54">
        <f>D675-4722.13</f>
        <v>-107609.13</v>
      </c>
      <c r="F675" s="54">
        <v>-127816.89</v>
      </c>
      <c r="G675" s="54">
        <f t="shared" si="359"/>
        <v>-20207.759999999995</v>
      </c>
      <c r="H675" s="9"/>
      <c r="I675" s="2"/>
    </row>
    <row r="676" spans="1:9" s="14" customFormat="1" ht="15.75" x14ac:dyDescent="0.25">
      <c r="A676" s="41" t="s">
        <v>41</v>
      </c>
      <c r="B676" s="51"/>
      <c r="C676" s="59"/>
      <c r="D676" s="54">
        <f>SUM(D677:D681)</f>
        <v>-22809893</v>
      </c>
      <c r="E676" s="54">
        <f>SUM(E677:E681)</f>
        <v>-30304916</v>
      </c>
      <c r="F676" s="54">
        <f>SUM(F677:F681)</f>
        <v>-24722436.384</v>
      </c>
      <c r="G676" s="54">
        <f t="shared" si="359"/>
        <v>5582479.6160000004</v>
      </c>
      <c r="H676" s="9"/>
      <c r="I676" s="2"/>
    </row>
    <row r="677" spans="1:9" ht="15.75" x14ac:dyDescent="0.25">
      <c r="A677" s="34"/>
      <c r="B677" s="28" t="s">
        <v>79</v>
      </c>
      <c r="C677" s="56"/>
      <c r="D677" s="53">
        <f t="shared" ref="D677:F681" si="360">D683+D742+D792+D820+D846</f>
        <v>-20347440</v>
      </c>
      <c r="E677" s="53">
        <f t="shared" si="360"/>
        <v>-22376045.989999998</v>
      </c>
      <c r="F677" s="53">
        <f t="shared" si="360"/>
        <v>-19659241.649999999</v>
      </c>
      <c r="G677" s="52">
        <f t="shared" si="359"/>
        <v>2716804.34</v>
      </c>
      <c r="I677" s="2"/>
    </row>
    <row r="678" spans="1:9" ht="15.75" x14ac:dyDescent="0.25">
      <c r="A678" s="34"/>
      <c r="B678" s="28" t="s">
        <v>80</v>
      </c>
      <c r="C678" s="56"/>
      <c r="D678" s="53">
        <f t="shared" si="360"/>
        <v>0</v>
      </c>
      <c r="E678" s="53">
        <f t="shared" si="360"/>
        <v>0</v>
      </c>
      <c r="F678" s="53">
        <f t="shared" si="360"/>
        <v>-353.93400000000003</v>
      </c>
      <c r="G678" s="52">
        <f t="shared" si="359"/>
        <v>-353.93400000000003</v>
      </c>
      <c r="I678" s="2"/>
    </row>
    <row r="679" spans="1:9" ht="15.75" x14ac:dyDescent="0.25">
      <c r="A679" s="34"/>
      <c r="B679" s="28" t="s">
        <v>81</v>
      </c>
      <c r="C679" s="56"/>
      <c r="D679" s="53">
        <f t="shared" si="360"/>
        <v>-2278701</v>
      </c>
      <c r="E679" s="53">
        <f t="shared" si="360"/>
        <v>-5117986.9700000007</v>
      </c>
      <c r="F679" s="53">
        <f t="shared" si="360"/>
        <v>-2904381.61</v>
      </c>
      <c r="G679" s="52">
        <f t="shared" si="359"/>
        <v>2213605.3600000008</v>
      </c>
      <c r="I679" s="2"/>
    </row>
    <row r="680" spans="1:9" x14ac:dyDescent="0.25">
      <c r="A680" s="28"/>
      <c r="B680" s="28" t="s">
        <v>82</v>
      </c>
      <c r="C680" s="56"/>
      <c r="D680" s="53">
        <f t="shared" si="360"/>
        <v>-71349</v>
      </c>
      <c r="E680" s="53">
        <f t="shared" si="360"/>
        <v>-2698480.0400000005</v>
      </c>
      <c r="F680" s="53">
        <f t="shared" si="360"/>
        <v>-2014441.64</v>
      </c>
      <c r="G680" s="52">
        <f t="shared" si="359"/>
        <v>684038.40000000061</v>
      </c>
      <c r="I680" s="2"/>
    </row>
    <row r="681" spans="1:9" x14ac:dyDescent="0.25">
      <c r="A681" s="28"/>
      <c r="B681" s="28" t="s">
        <v>85</v>
      </c>
      <c r="C681" s="56"/>
      <c r="D681" s="53">
        <f t="shared" si="360"/>
        <v>-112403</v>
      </c>
      <c r="E681" s="53">
        <f t="shared" si="360"/>
        <v>-112403</v>
      </c>
      <c r="F681" s="53">
        <f t="shared" si="360"/>
        <v>-144017.55000000002</v>
      </c>
      <c r="G681" s="52">
        <f t="shared" si="359"/>
        <v>-31614.550000000017</v>
      </c>
      <c r="I681" s="2"/>
    </row>
    <row r="682" spans="1:9" s="14" customFormat="1" ht="15.75" x14ac:dyDescent="0.25">
      <c r="A682" s="39" t="s">
        <v>132</v>
      </c>
      <c r="B682" s="51"/>
      <c r="C682" s="59"/>
      <c r="D682" s="54">
        <f>SUM(D683:D687)</f>
        <v>-8346056</v>
      </c>
      <c r="E682" s="54">
        <f>SUM(E683:E687)</f>
        <v>-12807535.450000001</v>
      </c>
      <c r="F682" s="54">
        <f>SUM(F683:F687)</f>
        <v>-10621944.663999999</v>
      </c>
      <c r="G682" s="54">
        <f t="shared" ref="G682:G688" si="361">F682-E682</f>
        <v>2185590.7860000022</v>
      </c>
      <c r="H682" s="9"/>
      <c r="I682" s="2"/>
    </row>
    <row r="683" spans="1:9" x14ac:dyDescent="0.25">
      <c r="A683" s="28"/>
      <c r="B683" s="56" t="s">
        <v>79</v>
      </c>
      <c r="C683" s="56"/>
      <c r="D683" s="52">
        <f>D693+D710+D729</f>
        <v>-6133060</v>
      </c>
      <c r="E683" s="52">
        <f t="shared" ref="E683:F683" si="362">E693+E710+E729</f>
        <v>-7264224.3700000001</v>
      </c>
      <c r="F683" s="52">
        <f t="shared" si="362"/>
        <v>-6188711.3300000001</v>
      </c>
      <c r="G683" s="52">
        <f t="shared" si="361"/>
        <v>1075513.04</v>
      </c>
      <c r="I683" s="2"/>
    </row>
    <row r="684" spans="1:9" x14ac:dyDescent="0.25">
      <c r="A684" s="28"/>
      <c r="B684" s="28" t="s">
        <v>80</v>
      </c>
      <c r="C684" s="56"/>
      <c r="D684" s="52">
        <f>D697+D714+D732</f>
        <v>0</v>
      </c>
      <c r="E684" s="52">
        <f>E697+E714+E732</f>
        <v>0</v>
      </c>
      <c r="F684" s="52">
        <f>F697+F714+F733</f>
        <v>-137.774</v>
      </c>
      <c r="G684" s="52">
        <f t="shared" si="361"/>
        <v>-137.774</v>
      </c>
      <c r="I684" s="2"/>
    </row>
    <row r="685" spans="1:9" x14ac:dyDescent="0.25">
      <c r="A685" s="28"/>
      <c r="B685" s="28" t="s">
        <v>81</v>
      </c>
      <c r="C685" s="56"/>
      <c r="D685" s="52">
        <f>D699+D716+D734</f>
        <v>-2049758</v>
      </c>
      <c r="E685" s="52">
        <f t="shared" ref="E685:F685" si="363">E699+E716+E734</f>
        <v>-3149374.77</v>
      </c>
      <c r="F685" s="52">
        <f t="shared" si="363"/>
        <v>-2567729.42</v>
      </c>
      <c r="G685" s="52">
        <f t="shared" si="361"/>
        <v>581645.35000000009</v>
      </c>
      <c r="I685" s="2"/>
    </row>
    <row r="686" spans="1:9" x14ac:dyDescent="0.25">
      <c r="A686" s="28"/>
      <c r="B686" s="28" t="s">
        <v>82</v>
      </c>
      <c r="C686" s="56"/>
      <c r="D686" s="52">
        <f>D720+D737+D703</f>
        <v>-66203</v>
      </c>
      <c r="E686" s="52">
        <f>E720+E737+E703</f>
        <v>-2296901.3100000005</v>
      </c>
      <c r="F686" s="52">
        <f>F720+F737+F703</f>
        <v>-1754559.04</v>
      </c>
      <c r="G686" s="52">
        <f t="shared" si="361"/>
        <v>542342.27000000048</v>
      </c>
      <c r="I686" s="2"/>
    </row>
    <row r="687" spans="1:9" x14ac:dyDescent="0.25">
      <c r="A687" s="28"/>
      <c r="B687" s="28" t="s">
        <v>85</v>
      </c>
      <c r="C687" s="56"/>
      <c r="D687" s="52">
        <f>D724+D740</f>
        <v>-97035</v>
      </c>
      <c r="E687" s="52">
        <f t="shared" ref="E687:F687" si="364">E724+E740</f>
        <v>-97035</v>
      </c>
      <c r="F687" s="52">
        <f t="shared" si="364"/>
        <v>-110807.1</v>
      </c>
      <c r="G687" s="52">
        <f t="shared" si="361"/>
        <v>-13772.100000000006</v>
      </c>
      <c r="I687" s="2"/>
    </row>
    <row r="688" spans="1:9" x14ac:dyDescent="0.25">
      <c r="A688" s="51"/>
      <c r="B688" s="51" t="s">
        <v>99</v>
      </c>
      <c r="C688" s="59"/>
      <c r="D688" s="54">
        <f>SUM(D689:D692)</f>
        <v>-2209672</v>
      </c>
      <c r="E688" s="54">
        <f>SUM(E689:E692)</f>
        <v>-2821129.3999999994</v>
      </c>
      <c r="F688" s="54">
        <f>SUM(F689:F692)</f>
        <v>-2539211.12</v>
      </c>
      <c r="G688" s="54">
        <f t="shared" si="361"/>
        <v>281918.27999999933</v>
      </c>
      <c r="I688" s="2"/>
    </row>
    <row r="689" spans="1:9" x14ac:dyDescent="0.25">
      <c r="A689" s="28"/>
      <c r="B689" s="28"/>
      <c r="C689" s="56" t="s">
        <v>89</v>
      </c>
      <c r="D689" s="52">
        <f>D694+D700+D704</f>
        <v>-774974</v>
      </c>
      <c r="E689" s="52">
        <f>E694+E700+E704</f>
        <v>-935297.2</v>
      </c>
      <c r="F689" s="52">
        <f>F694+F700+F704</f>
        <v>-762706.51000000013</v>
      </c>
      <c r="G689" s="52">
        <f t="shared" ref="G689:G692" si="365">F689-E689</f>
        <v>172590.68999999983</v>
      </c>
      <c r="I689" s="2"/>
    </row>
    <row r="690" spans="1:9" x14ac:dyDescent="0.25">
      <c r="A690" s="28"/>
      <c r="B690" s="28"/>
      <c r="C690" s="56" t="s">
        <v>90</v>
      </c>
      <c r="D690" s="52">
        <f>D695+D701</f>
        <v>-226959</v>
      </c>
      <c r="E690" s="52">
        <f t="shared" ref="E690:F690" si="366">E695+E701</f>
        <v>-412684.1</v>
      </c>
      <c r="F690" s="52">
        <f t="shared" si="366"/>
        <v>-356231.77</v>
      </c>
      <c r="G690" s="52">
        <f t="shared" si="365"/>
        <v>56452.329999999958</v>
      </c>
      <c r="I690" s="2"/>
    </row>
    <row r="691" spans="1:9" x14ac:dyDescent="0.25">
      <c r="A691" s="28"/>
      <c r="B691" s="28"/>
      <c r="C691" s="56" t="s">
        <v>100</v>
      </c>
      <c r="D691" s="52">
        <f>D696+D702</f>
        <v>-1207739</v>
      </c>
      <c r="E691" s="52">
        <f>E696+E702</f>
        <v>-1473148.0999999999</v>
      </c>
      <c r="F691" s="52">
        <f>F696+F702</f>
        <v>-1420255</v>
      </c>
      <c r="G691" s="52">
        <f t="shared" si="365"/>
        <v>52893.09999999986</v>
      </c>
      <c r="I691" s="2"/>
    </row>
    <row r="692" spans="1:9" x14ac:dyDescent="0.25">
      <c r="A692" s="28"/>
      <c r="B692" s="28"/>
      <c r="C692" s="28" t="s">
        <v>95</v>
      </c>
      <c r="D692" s="53">
        <f>D698+D715</f>
        <v>0</v>
      </c>
      <c r="E692" s="53">
        <f>E698+E715</f>
        <v>0</v>
      </c>
      <c r="F692" s="53">
        <f>F698</f>
        <v>-17.84</v>
      </c>
      <c r="G692" s="53">
        <f t="shared" si="365"/>
        <v>-17.84</v>
      </c>
      <c r="I692" s="2"/>
    </row>
    <row r="693" spans="1:9" x14ac:dyDescent="0.25">
      <c r="A693" s="51"/>
      <c r="B693" s="51"/>
      <c r="C693" s="59" t="s">
        <v>79</v>
      </c>
      <c r="D693" s="54">
        <f>SUM(D694:D696)</f>
        <v>-2190548</v>
      </c>
      <c r="E693" s="54">
        <f t="shared" ref="E693:F693" si="367">SUM(E694:E696)</f>
        <v>-2488688.0099999998</v>
      </c>
      <c r="F693" s="54">
        <f t="shared" si="367"/>
        <v>-2221865.79</v>
      </c>
      <c r="G693" s="54">
        <f>F693-E693</f>
        <v>266822.21999999974</v>
      </c>
      <c r="I693" s="2"/>
    </row>
    <row r="694" spans="1:9" x14ac:dyDescent="0.25">
      <c r="A694" s="28"/>
      <c r="B694" s="28"/>
      <c r="C694" s="56" t="s">
        <v>89</v>
      </c>
      <c r="D694" s="52">
        <v>-774571</v>
      </c>
      <c r="E694" s="52">
        <f>D694-139085.36</f>
        <v>-913656.36</v>
      </c>
      <c r="F694" s="52">
        <v>-743571.56</v>
      </c>
      <c r="G694" s="52">
        <f t="shared" ref="G694:G698" si="368">F694-E694</f>
        <v>170084.79999999993</v>
      </c>
      <c r="I694" s="2"/>
    </row>
    <row r="695" spans="1:9" x14ac:dyDescent="0.25">
      <c r="A695" s="28"/>
      <c r="B695" s="28"/>
      <c r="C695" s="56" t="s">
        <v>90</v>
      </c>
      <c r="D695" s="52">
        <v>-208238</v>
      </c>
      <c r="E695" s="52">
        <f>D695+15966.5+7001</f>
        <v>-185270.5</v>
      </c>
      <c r="F695" s="52">
        <v>-135493.42000000001</v>
      </c>
      <c r="G695" s="52">
        <f t="shared" si="368"/>
        <v>49777.079999999987</v>
      </c>
      <c r="I695" s="2"/>
    </row>
    <row r="696" spans="1:9" x14ac:dyDescent="0.25">
      <c r="A696" s="28"/>
      <c r="B696" s="28"/>
      <c r="C696" s="56" t="s">
        <v>100</v>
      </c>
      <c r="D696" s="52">
        <v>-1207739</v>
      </c>
      <c r="E696" s="53">
        <f>D696-175022.15-7000</f>
        <v>-1389761.15</v>
      </c>
      <c r="F696" s="52">
        <f>-1342800.81</f>
        <v>-1342800.81</v>
      </c>
      <c r="G696" s="52">
        <f t="shared" si="368"/>
        <v>46960.339999999851</v>
      </c>
      <c r="I696" s="2"/>
    </row>
    <row r="697" spans="1:9" x14ac:dyDescent="0.25">
      <c r="A697" s="28"/>
      <c r="B697" s="28"/>
      <c r="C697" s="59" t="s">
        <v>80</v>
      </c>
      <c r="D697" s="52">
        <f>D698</f>
        <v>0</v>
      </c>
      <c r="E697" s="52">
        <f>E698</f>
        <v>0</v>
      </c>
      <c r="F697" s="52">
        <f>F698</f>
        <v>-17.84</v>
      </c>
      <c r="G697" s="52">
        <f t="shared" si="368"/>
        <v>-17.84</v>
      </c>
      <c r="I697" s="2"/>
    </row>
    <row r="698" spans="1:9" x14ac:dyDescent="0.25">
      <c r="A698" s="28"/>
      <c r="B698" s="28"/>
      <c r="C698" s="56" t="s">
        <v>95</v>
      </c>
      <c r="D698" s="52">
        <v>0</v>
      </c>
      <c r="E698" s="52">
        <v>0</v>
      </c>
      <c r="F698" s="52">
        <v>-17.84</v>
      </c>
      <c r="G698" s="52">
        <f t="shared" si="368"/>
        <v>-17.84</v>
      </c>
      <c r="I698" s="2"/>
    </row>
    <row r="699" spans="1:9" s="14" customFormat="1" x14ac:dyDescent="0.25">
      <c r="A699" s="51"/>
      <c r="B699" s="51"/>
      <c r="C699" s="59" t="s">
        <v>81</v>
      </c>
      <c r="D699" s="54">
        <f>SUM(D700:D702)</f>
        <v>-19124</v>
      </c>
      <c r="E699" s="54">
        <f>SUM(E700:E702)</f>
        <v>-332295.75</v>
      </c>
      <c r="F699" s="54">
        <f>SUM(F700:F702)</f>
        <v>-317181.84999999998</v>
      </c>
      <c r="G699" s="54">
        <f>F699-E699</f>
        <v>15113.900000000023</v>
      </c>
      <c r="H699" s="9"/>
      <c r="I699" s="2"/>
    </row>
    <row r="700" spans="1:9" x14ac:dyDescent="0.25">
      <c r="A700" s="28"/>
      <c r="B700" s="28"/>
      <c r="C700" s="56" t="s">
        <v>89</v>
      </c>
      <c r="D700" s="52">
        <v>-403</v>
      </c>
      <c r="E700" s="52">
        <f>D700-21092.2</f>
        <v>-21495.200000000001</v>
      </c>
      <c r="F700" s="52">
        <v>-18989.310000000001</v>
      </c>
      <c r="G700" s="52">
        <f>F700-E700</f>
        <v>2505.8899999999994</v>
      </c>
      <c r="I700" s="2"/>
    </row>
    <row r="701" spans="1:9" x14ac:dyDescent="0.25">
      <c r="A701" s="28"/>
      <c r="B701" s="28"/>
      <c r="C701" s="56" t="s">
        <v>90</v>
      </c>
      <c r="D701" s="52">
        <v>-18721</v>
      </c>
      <c r="E701" s="52">
        <f>D701-208692.6</f>
        <v>-227413.6</v>
      </c>
      <c r="F701" s="52">
        <v>-220738.35</v>
      </c>
      <c r="G701" s="52">
        <f>F701-E701</f>
        <v>6675.25</v>
      </c>
      <c r="I701" s="2"/>
    </row>
    <row r="702" spans="1:9" x14ac:dyDescent="0.25">
      <c r="A702" s="28"/>
      <c r="B702" s="28"/>
      <c r="C702" s="56" t="s">
        <v>100</v>
      </c>
      <c r="D702" s="52">
        <v>0</v>
      </c>
      <c r="E702" s="52">
        <v>-83386.95</v>
      </c>
      <c r="F702" s="52">
        <v>-77454.19</v>
      </c>
      <c r="G702" s="52">
        <f>F702-E702</f>
        <v>5932.7599999999948</v>
      </c>
      <c r="I702" s="2"/>
    </row>
    <row r="703" spans="1:9" x14ac:dyDescent="0.25">
      <c r="A703" s="28"/>
      <c r="B703" s="28"/>
      <c r="C703" s="59" t="s">
        <v>82</v>
      </c>
      <c r="D703" s="52">
        <f>D704</f>
        <v>0</v>
      </c>
      <c r="E703" s="52">
        <f>E704</f>
        <v>-145.63999999999999</v>
      </c>
      <c r="F703" s="52">
        <f>F704</f>
        <v>-145.63999999999999</v>
      </c>
      <c r="G703" s="52">
        <f t="shared" ref="G703:G704" si="369">F703-E703</f>
        <v>0</v>
      </c>
      <c r="I703" s="2"/>
    </row>
    <row r="704" spans="1:9" x14ac:dyDescent="0.25">
      <c r="A704" s="28"/>
      <c r="B704" s="28"/>
      <c r="C704" s="56" t="s">
        <v>89</v>
      </c>
      <c r="D704" s="52">
        <v>0</v>
      </c>
      <c r="E704" s="52">
        <v>-145.63999999999999</v>
      </c>
      <c r="F704" s="52">
        <v>-145.63999999999999</v>
      </c>
      <c r="G704" s="52">
        <f t="shared" si="369"/>
        <v>0</v>
      </c>
      <c r="I704" s="2"/>
    </row>
    <row r="705" spans="1:9" x14ac:dyDescent="0.25">
      <c r="A705" s="51"/>
      <c r="B705" s="51" t="s">
        <v>115</v>
      </c>
      <c r="C705" s="59"/>
      <c r="D705" s="54">
        <f>SUM(D706:D709)</f>
        <v>-5764104</v>
      </c>
      <c r="E705" s="54">
        <f>SUM(E706:E709)</f>
        <v>-9396968.9499999993</v>
      </c>
      <c r="F705" s="54">
        <f>SUM(F706:F709)</f>
        <v>-7629557.2000000002</v>
      </c>
      <c r="G705" s="54">
        <f>F705-E705</f>
        <v>1767411.7499999991</v>
      </c>
      <c r="I705" s="2"/>
    </row>
    <row r="706" spans="1:9" x14ac:dyDescent="0.25">
      <c r="A706" s="28"/>
      <c r="B706" s="28"/>
      <c r="C706" s="56" t="s">
        <v>89</v>
      </c>
      <c r="D706" s="52">
        <f>D711+D717+D721</f>
        <v>-3331941</v>
      </c>
      <c r="E706" s="52">
        <f t="shared" ref="E706:F706" si="370">E711+E717+E721</f>
        <v>-6638643.0199999996</v>
      </c>
      <c r="F706" s="52">
        <f t="shared" si="370"/>
        <v>-5319043.7699999996</v>
      </c>
      <c r="G706" s="52">
        <f t="shared" ref="G706:G709" si="371">F706-E706</f>
        <v>1319599.25</v>
      </c>
      <c r="I706" s="2"/>
    </row>
    <row r="707" spans="1:9" x14ac:dyDescent="0.25">
      <c r="A707" s="28"/>
      <c r="B707" s="28"/>
      <c r="C707" s="56" t="s">
        <v>90</v>
      </c>
      <c r="D707" s="52">
        <f>D712+D718+D722</f>
        <v>-2052132</v>
      </c>
      <c r="E707" s="52">
        <f t="shared" ref="E707:F707" si="372">E712+E718+E722</f>
        <v>-2260826.04</v>
      </c>
      <c r="F707" s="52">
        <f t="shared" si="372"/>
        <v>-1892264.06</v>
      </c>
      <c r="G707" s="52">
        <f t="shared" si="371"/>
        <v>368561.98</v>
      </c>
      <c r="I707" s="2"/>
    </row>
    <row r="708" spans="1:9" x14ac:dyDescent="0.25">
      <c r="A708" s="28"/>
      <c r="B708" s="28"/>
      <c r="C708" s="56" t="s">
        <v>100</v>
      </c>
      <c r="D708" s="52">
        <f>D713+D719</f>
        <v>-330232</v>
      </c>
      <c r="E708" s="52">
        <f>E713+E719</f>
        <v>-447712.42</v>
      </c>
      <c r="F708" s="52">
        <f>F713+F719</f>
        <v>-373034.19</v>
      </c>
      <c r="G708" s="52">
        <f t="shared" si="371"/>
        <v>74678.229999999981</v>
      </c>
      <c r="I708" s="2"/>
    </row>
    <row r="709" spans="1:9" x14ac:dyDescent="0.25">
      <c r="A709" s="28"/>
      <c r="B709" s="28"/>
      <c r="C709" s="28" t="s">
        <v>91</v>
      </c>
      <c r="D709" s="53">
        <f>D724</f>
        <v>-49799</v>
      </c>
      <c r="E709" s="53">
        <f>E724+E723</f>
        <v>-49787.47</v>
      </c>
      <c r="F709" s="53">
        <f>F724+F715</f>
        <v>-45215.18</v>
      </c>
      <c r="G709" s="53">
        <f t="shared" si="371"/>
        <v>4572.2900000000009</v>
      </c>
      <c r="I709" s="2"/>
    </row>
    <row r="710" spans="1:9" x14ac:dyDescent="0.25">
      <c r="A710" s="51"/>
      <c r="B710" s="51"/>
      <c r="C710" s="59" t="s">
        <v>79</v>
      </c>
      <c r="D710" s="54">
        <f>SUM(D711:D713)</f>
        <v>-3639982</v>
      </c>
      <c r="E710" s="54">
        <f t="shared" ref="E710:F710" si="373">SUM(E711:E713)</f>
        <v>-4340873.6500000004</v>
      </c>
      <c r="F710" s="54">
        <f t="shared" si="373"/>
        <v>-3682406.8000000003</v>
      </c>
      <c r="G710" s="54">
        <f>F710-E710</f>
        <v>658466.85000000009</v>
      </c>
      <c r="I710" s="2"/>
    </row>
    <row r="711" spans="1:9" x14ac:dyDescent="0.25">
      <c r="A711" s="28"/>
      <c r="B711" s="28"/>
      <c r="C711" s="28" t="s">
        <v>89</v>
      </c>
      <c r="D711" s="53">
        <v>-2371044</v>
      </c>
      <c r="E711" s="53">
        <f>D711-462125.78-40003</f>
        <v>-2873172.7800000003</v>
      </c>
      <c r="F711" s="53">
        <v>-2575877.04</v>
      </c>
      <c r="G711" s="53">
        <f t="shared" ref="G711:G712" si="374">F711-E711</f>
        <v>297295.74000000022</v>
      </c>
      <c r="I711" s="2"/>
    </row>
    <row r="712" spans="1:9" x14ac:dyDescent="0.25">
      <c r="A712" s="28"/>
      <c r="B712" s="28"/>
      <c r="C712" s="28" t="s">
        <v>90</v>
      </c>
      <c r="D712" s="53">
        <v>-938706</v>
      </c>
      <c r="E712" s="53">
        <f>D712-198762.87</f>
        <v>-1137468.8700000001</v>
      </c>
      <c r="F712" s="53">
        <v>-783716.58</v>
      </c>
      <c r="G712" s="53">
        <f t="shared" si="374"/>
        <v>353752.29000000015</v>
      </c>
      <c r="I712" s="2"/>
    </row>
    <row r="713" spans="1:9" x14ac:dyDescent="0.25">
      <c r="A713" s="28"/>
      <c r="B713" s="28"/>
      <c r="C713" s="28" t="s">
        <v>100</v>
      </c>
      <c r="D713" s="53">
        <v>-330232</v>
      </c>
      <c r="E713" s="53">
        <f>D713</f>
        <v>-330232</v>
      </c>
      <c r="F713" s="53">
        <v>-322813.18</v>
      </c>
      <c r="G713" s="53">
        <f t="shared" ref="G713:G715" si="375">F713-E713</f>
        <v>7418.820000000007</v>
      </c>
      <c r="I713" s="2"/>
    </row>
    <row r="714" spans="1:9" x14ac:dyDescent="0.25">
      <c r="A714" s="28"/>
      <c r="B714" s="28"/>
      <c r="C714" s="59" t="s">
        <v>80</v>
      </c>
      <c r="D714" s="52">
        <f>D715</f>
        <v>0</v>
      </c>
      <c r="E714" s="52">
        <f>E715</f>
        <v>0</v>
      </c>
      <c r="F714" s="52">
        <f>F715</f>
        <v>-113.18</v>
      </c>
      <c r="G714" s="52">
        <f t="shared" si="375"/>
        <v>-113.18</v>
      </c>
      <c r="I714" s="2"/>
    </row>
    <row r="715" spans="1:9" x14ac:dyDescent="0.25">
      <c r="A715" s="28"/>
      <c r="B715" s="28"/>
      <c r="C715" s="56" t="s">
        <v>95</v>
      </c>
      <c r="D715" s="52">
        <v>0</v>
      </c>
      <c r="E715" s="52">
        <v>0</v>
      </c>
      <c r="F715" s="52">
        <v>-113.18</v>
      </c>
      <c r="G715" s="52">
        <f t="shared" si="375"/>
        <v>-113.18</v>
      </c>
      <c r="I715" s="2"/>
    </row>
    <row r="716" spans="1:9" s="14" customFormat="1" x14ac:dyDescent="0.25">
      <c r="A716" s="51"/>
      <c r="B716" s="51"/>
      <c r="C716" s="59" t="s">
        <v>81</v>
      </c>
      <c r="D716" s="54">
        <f>SUM(D717:D719)</f>
        <v>-2012623</v>
      </c>
      <c r="E716" s="54">
        <f>SUM(E717:E719)</f>
        <v>-2725428.84</v>
      </c>
      <c r="F716" s="54">
        <f>SUM(F717:F719)</f>
        <v>-2161780.3199999998</v>
      </c>
      <c r="G716" s="54">
        <f>F716-E716</f>
        <v>563648.52</v>
      </c>
      <c r="H716" s="9"/>
      <c r="I716" s="2"/>
    </row>
    <row r="717" spans="1:9" x14ac:dyDescent="0.25">
      <c r="A717" s="28"/>
      <c r="B717" s="28"/>
      <c r="C717" s="56" t="s">
        <v>89</v>
      </c>
      <c r="D717" s="52">
        <v>-913897</v>
      </c>
      <c r="E717" s="52">
        <f>D717-910297.4</f>
        <v>-1824194.4</v>
      </c>
      <c r="F717" s="52">
        <v>-1332008.3899999999</v>
      </c>
      <c r="G717" s="52">
        <f>F717-E717</f>
        <v>492186.01</v>
      </c>
      <c r="I717" s="2"/>
    </row>
    <row r="718" spans="1:9" x14ac:dyDescent="0.25">
      <c r="A718" s="28"/>
      <c r="B718" s="28"/>
      <c r="C718" s="56" t="s">
        <v>90</v>
      </c>
      <c r="D718" s="52">
        <v>-1098726</v>
      </c>
      <c r="E718" s="52">
        <f>D718+314971.98</f>
        <v>-783754.02</v>
      </c>
      <c r="F718" s="52">
        <v>-779550.92</v>
      </c>
      <c r="G718" s="52">
        <f>F718-E718</f>
        <v>4203.0999999999767</v>
      </c>
      <c r="I718" s="2"/>
    </row>
    <row r="719" spans="1:9" x14ac:dyDescent="0.25">
      <c r="A719" s="28"/>
      <c r="B719" s="28"/>
      <c r="C719" s="56" t="s">
        <v>100</v>
      </c>
      <c r="D719" s="52">
        <v>0</v>
      </c>
      <c r="E719" s="52">
        <v>-117480.42</v>
      </c>
      <c r="F719" s="52">
        <v>-50221.01</v>
      </c>
      <c r="G719" s="52">
        <f>F719-E719</f>
        <v>67259.41</v>
      </c>
      <c r="I719" s="2"/>
    </row>
    <row r="720" spans="1:9" s="14" customFormat="1" x14ac:dyDescent="0.25">
      <c r="A720" s="51"/>
      <c r="B720" s="51"/>
      <c r="C720" s="59" t="s">
        <v>82</v>
      </c>
      <c r="D720" s="54">
        <f>SUM(D721:D723)</f>
        <v>-61700</v>
      </c>
      <c r="E720" s="54">
        <f>SUM(E721:E723)</f>
        <v>-2280867.4600000004</v>
      </c>
      <c r="F720" s="54">
        <f>SUM(F721:F723)</f>
        <v>-1740154.9000000001</v>
      </c>
      <c r="G720" s="54">
        <f>F720-E720</f>
        <v>540712.56000000029</v>
      </c>
      <c r="H720" s="9"/>
      <c r="I720" s="2"/>
    </row>
    <row r="721" spans="1:9" x14ac:dyDescent="0.25">
      <c r="A721" s="28"/>
      <c r="B721" s="28"/>
      <c r="C721" s="56" t="s">
        <v>89</v>
      </c>
      <c r="D721" s="52">
        <v>-47000</v>
      </c>
      <c r="E721" s="52">
        <f>D721-1894275.84</f>
        <v>-1941275.84</v>
      </c>
      <c r="F721" s="52">
        <v>-1411158.34</v>
      </c>
      <c r="G721" s="52">
        <f t="shared" ref="G721:G723" si="376">F721-E721</f>
        <v>530117.5</v>
      </c>
      <c r="I721" s="2"/>
    </row>
    <row r="722" spans="1:9" x14ac:dyDescent="0.25">
      <c r="A722" s="28"/>
      <c r="B722" s="28"/>
      <c r="C722" s="56" t="s">
        <v>90</v>
      </c>
      <c r="D722" s="52">
        <v>-14700</v>
      </c>
      <c r="E722" s="52">
        <f>D722-324903.15</f>
        <v>-339603.15</v>
      </c>
      <c r="F722" s="52">
        <v>-328996.56</v>
      </c>
      <c r="G722" s="52">
        <f t="shared" si="376"/>
        <v>10606.590000000026</v>
      </c>
      <c r="I722" s="2"/>
    </row>
    <row r="723" spans="1:9" x14ac:dyDescent="0.25">
      <c r="A723" s="28"/>
      <c r="B723" s="28"/>
      <c r="C723" s="56" t="s">
        <v>95</v>
      </c>
      <c r="D723" s="52">
        <v>0</v>
      </c>
      <c r="E723" s="52">
        <v>11.53</v>
      </c>
      <c r="F723" s="52">
        <v>0</v>
      </c>
      <c r="G723" s="52">
        <f t="shared" si="376"/>
        <v>-11.53</v>
      </c>
      <c r="I723" s="2"/>
    </row>
    <row r="724" spans="1:9" s="14" customFormat="1" x14ac:dyDescent="0.25">
      <c r="A724" s="51"/>
      <c r="B724" s="51"/>
      <c r="C724" s="59" t="s">
        <v>85</v>
      </c>
      <c r="D724" s="54">
        <v>-49799</v>
      </c>
      <c r="E724" s="54">
        <f>D724</f>
        <v>-49799</v>
      </c>
      <c r="F724" s="54">
        <v>-45102</v>
      </c>
      <c r="G724" s="54">
        <f>F724-E724</f>
        <v>4697</v>
      </c>
      <c r="H724" s="9"/>
      <c r="I724" s="2"/>
    </row>
    <row r="725" spans="1:9" x14ac:dyDescent="0.25">
      <c r="A725" s="51"/>
      <c r="B725" s="51" t="s">
        <v>88</v>
      </c>
      <c r="C725" s="59"/>
      <c r="D725" s="54">
        <f>SUM(D726:D728)</f>
        <v>-372280</v>
      </c>
      <c r="E725" s="54">
        <f>SUM(E726:E728)</f>
        <v>-589437.1</v>
      </c>
      <c r="F725" s="54">
        <f>SUM(F726:F728)</f>
        <v>-453176.34399999998</v>
      </c>
      <c r="G725" s="54">
        <f>F725-E725</f>
        <v>136260.75599999999</v>
      </c>
      <c r="I725" s="2"/>
    </row>
    <row r="726" spans="1:9" x14ac:dyDescent="0.25">
      <c r="A726" s="28"/>
      <c r="B726" s="28"/>
      <c r="C726" s="56" t="s">
        <v>89</v>
      </c>
      <c r="D726" s="52">
        <f>D730+D735+D738</f>
        <v>-226382</v>
      </c>
      <c r="E726" s="52">
        <f t="shared" ref="E726:F726" si="377">E730+E735+E738</f>
        <v>-333417.88</v>
      </c>
      <c r="F726" s="52">
        <f t="shared" si="377"/>
        <v>-279882.19</v>
      </c>
      <c r="G726" s="52">
        <f t="shared" ref="G726:G728" si="378">F726-E726</f>
        <v>53535.69</v>
      </c>
      <c r="I726" s="2"/>
    </row>
    <row r="727" spans="1:9" x14ac:dyDescent="0.25">
      <c r="A727" s="28"/>
      <c r="B727" s="28"/>
      <c r="C727" s="56" t="s">
        <v>90</v>
      </c>
      <c r="D727" s="52">
        <f>D731+D736+D739</f>
        <v>-98662</v>
      </c>
      <c r="E727" s="52">
        <f t="shared" ref="E727:F727" si="379">E731+E736+E739</f>
        <v>-208783.22</v>
      </c>
      <c r="F727" s="52">
        <f t="shared" si="379"/>
        <v>-107582.3</v>
      </c>
      <c r="G727" s="52">
        <f t="shared" si="378"/>
        <v>101200.92</v>
      </c>
      <c r="I727" s="2"/>
    </row>
    <row r="728" spans="1:9" x14ac:dyDescent="0.25">
      <c r="A728" s="28"/>
      <c r="B728" s="28"/>
      <c r="C728" s="56" t="s">
        <v>91</v>
      </c>
      <c r="D728" s="52">
        <f>D740+D733</f>
        <v>-47236</v>
      </c>
      <c r="E728" s="52">
        <f>E740+E733</f>
        <v>-47236</v>
      </c>
      <c r="F728" s="52">
        <f>F740+F733</f>
        <v>-65711.854000000007</v>
      </c>
      <c r="G728" s="52">
        <f t="shared" si="378"/>
        <v>-18475.854000000007</v>
      </c>
      <c r="I728" s="2"/>
    </row>
    <row r="729" spans="1:9" x14ac:dyDescent="0.25">
      <c r="A729" s="51"/>
      <c r="B729" s="51"/>
      <c r="C729" s="59" t="s">
        <v>79</v>
      </c>
      <c r="D729" s="54">
        <f>SUM(D730:D731)</f>
        <v>-302530</v>
      </c>
      <c r="E729" s="54">
        <f>SUM(E730:E731)</f>
        <v>-434662.70999999996</v>
      </c>
      <c r="F729" s="54">
        <f>SUM(F730:F731)</f>
        <v>-284438.74</v>
      </c>
      <c r="G729" s="54">
        <f>F729-E729</f>
        <v>150223.96999999997</v>
      </c>
      <c r="I729" s="2"/>
    </row>
    <row r="730" spans="1:9" x14ac:dyDescent="0.25">
      <c r="A730" s="28"/>
      <c r="B730" s="28"/>
      <c r="C730" s="28" t="s">
        <v>89</v>
      </c>
      <c r="D730" s="53">
        <v>-207631</v>
      </c>
      <c r="E730" s="53">
        <f>D730-42049.71</f>
        <v>-249680.71</v>
      </c>
      <c r="F730" s="53">
        <v>-198461.36</v>
      </c>
      <c r="G730" s="53">
        <f t="shared" ref="G730:G733" si="380">F730-E730</f>
        <v>51219.350000000006</v>
      </c>
      <c r="I730" s="2"/>
    </row>
    <row r="731" spans="1:9" x14ac:dyDescent="0.25">
      <c r="A731" s="28"/>
      <c r="B731" s="28"/>
      <c r="C731" s="28" t="s">
        <v>90</v>
      </c>
      <c r="D731" s="53">
        <v>-94899</v>
      </c>
      <c r="E731" s="53">
        <f>D731-90083</f>
        <v>-184982</v>
      </c>
      <c r="F731" s="53">
        <v>-85977.38</v>
      </c>
      <c r="G731" s="53">
        <f t="shared" si="380"/>
        <v>99004.62</v>
      </c>
      <c r="I731" s="2"/>
    </row>
    <row r="732" spans="1:9" x14ac:dyDescent="0.25">
      <c r="A732" s="28"/>
      <c r="B732" s="28"/>
      <c r="C732" s="59" t="s">
        <v>80</v>
      </c>
      <c r="D732" s="52">
        <f>D733</f>
        <v>0</v>
      </c>
      <c r="E732" s="52">
        <f>E733</f>
        <v>0</v>
      </c>
      <c r="F732" s="52">
        <f>F733</f>
        <v>-6.7539999999999996</v>
      </c>
      <c r="G732" s="52">
        <f t="shared" si="380"/>
        <v>-6.7539999999999996</v>
      </c>
      <c r="I732" s="2"/>
    </row>
    <row r="733" spans="1:9" x14ac:dyDescent="0.25">
      <c r="A733" s="28"/>
      <c r="B733" s="28"/>
      <c r="C733" s="56" t="s">
        <v>95</v>
      </c>
      <c r="D733" s="52">
        <v>0</v>
      </c>
      <c r="E733" s="52">
        <v>0</v>
      </c>
      <c r="F733" s="52">
        <v>-6.7539999999999996</v>
      </c>
      <c r="G733" s="52">
        <f t="shared" si="380"/>
        <v>-6.7539999999999996</v>
      </c>
      <c r="I733" s="2"/>
    </row>
    <row r="734" spans="1:9" s="14" customFormat="1" x14ac:dyDescent="0.25">
      <c r="A734" s="51"/>
      <c r="B734" s="51"/>
      <c r="C734" s="59" t="s">
        <v>81</v>
      </c>
      <c r="D734" s="54">
        <f>SUM(D735:D736)</f>
        <v>-18011</v>
      </c>
      <c r="E734" s="54">
        <f t="shared" ref="E734:F734" si="381">SUM(E735:E736)</f>
        <v>-91650.18</v>
      </c>
      <c r="F734" s="54">
        <f t="shared" si="381"/>
        <v>-88767.25</v>
      </c>
      <c r="G734" s="54">
        <f>F734-E734</f>
        <v>2882.929999999993</v>
      </c>
      <c r="H734" s="9"/>
      <c r="I734" s="2"/>
    </row>
    <row r="735" spans="1:9" x14ac:dyDescent="0.25">
      <c r="A735" s="28"/>
      <c r="B735" s="28"/>
      <c r="C735" s="56" t="s">
        <v>89</v>
      </c>
      <c r="D735" s="52">
        <v>-15001</v>
      </c>
      <c r="E735" s="52">
        <f>D735-59648.18</f>
        <v>-74649.179999999993</v>
      </c>
      <c r="F735" s="52">
        <v>-72333.740000000005</v>
      </c>
      <c r="G735" s="52">
        <f t="shared" ref="G735:G736" si="382">F735-E735</f>
        <v>2315.4399999999878</v>
      </c>
      <c r="I735" s="2"/>
    </row>
    <row r="736" spans="1:9" x14ac:dyDescent="0.25">
      <c r="A736" s="28"/>
      <c r="B736" s="28"/>
      <c r="C736" s="56" t="s">
        <v>90</v>
      </c>
      <c r="D736" s="52">
        <v>-3010</v>
      </c>
      <c r="E736" s="52">
        <f>D736-13991</f>
        <v>-17001</v>
      </c>
      <c r="F736" s="52">
        <v>-16433.509999999998</v>
      </c>
      <c r="G736" s="52">
        <f t="shared" si="382"/>
        <v>567.4900000000016</v>
      </c>
      <c r="I736" s="2"/>
    </row>
    <row r="737" spans="1:9" s="14" customFormat="1" x14ac:dyDescent="0.25">
      <c r="A737" s="51"/>
      <c r="B737" s="51"/>
      <c r="C737" s="59" t="s">
        <v>82</v>
      </c>
      <c r="D737" s="54">
        <f>SUM(D738:D739)</f>
        <v>-4503</v>
      </c>
      <c r="E737" s="54">
        <f t="shared" ref="E737:F737" si="383">SUM(E738:E739)</f>
        <v>-15888.21</v>
      </c>
      <c r="F737" s="54">
        <f t="shared" si="383"/>
        <v>-14258.5</v>
      </c>
      <c r="G737" s="54">
        <f>F737-E737</f>
        <v>1629.7099999999991</v>
      </c>
      <c r="H737" s="9"/>
      <c r="I737" s="2"/>
    </row>
    <row r="738" spans="1:9" x14ac:dyDescent="0.25">
      <c r="A738" s="28"/>
      <c r="B738" s="28"/>
      <c r="C738" s="56" t="s">
        <v>89</v>
      </c>
      <c r="D738" s="52">
        <v>-3750</v>
      </c>
      <c r="E738" s="52">
        <f>D738-5337.99</f>
        <v>-9087.99</v>
      </c>
      <c r="F738" s="52">
        <v>-9087.09</v>
      </c>
      <c r="G738" s="52">
        <f t="shared" ref="G738:G740" si="384">F738-E738</f>
        <v>0.8999999999996362</v>
      </c>
      <c r="I738" s="2"/>
    </row>
    <row r="739" spans="1:9" x14ac:dyDescent="0.25">
      <c r="A739" s="28"/>
      <c r="B739" s="28"/>
      <c r="C739" s="56" t="s">
        <v>90</v>
      </c>
      <c r="D739" s="52">
        <v>-753</v>
      </c>
      <c r="E739" s="52">
        <f>D739-6047.22</f>
        <v>-6800.22</v>
      </c>
      <c r="F739" s="52">
        <v>-5171.41</v>
      </c>
      <c r="G739" s="52">
        <f t="shared" si="384"/>
        <v>1628.8100000000004</v>
      </c>
      <c r="I739" s="2"/>
    </row>
    <row r="740" spans="1:9" s="14" customFormat="1" x14ac:dyDescent="0.25">
      <c r="A740" s="51"/>
      <c r="B740" s="51"/>
      <c r="C740" s="59" t="s">
        <v>85</v>
      </c>
      <c r="D740" s="54">
        <v>-47236</v>
      </c>
      <c r="E740" s="54">
        <f t="shared" ref="E740" si="385">D740</f>
        <v>-47236</v>
      </c>
      <c r="F740" s="54">
        <v>-65705.100000000006</v>
      </c>
      <c r="G740" s="54">
        <f t="shared" si="384"/>
        <v>-18469.100000000006</v>
      </c>
      <c r="H740" s="9"/>
      <c r="I740" s="2"/>
    </row>
    <row r="741" spans="1:9" s="14" customFormat="1" ht="15.75" x14ac:dyDescent="0.25">
      <c r="A741" s="39" t="s">
        <v>133</v>
      </c>
      <c r="B741" s="51"/>
      <c r="C741" s="59"/>
      <c r="D741" s="54">
        <f>SUM(D742:D746)</f>
        <v>-2131964</v>
      </c>
      <c r="E741" s="54">
        <f>SUM(E742:E746)</f>
        <v>-3046891.19</v>
      </c>
      <c r="F741" s="54">
        <f>SUM(F742:F746)</f>
        <v>-2303040.14</v>
      </c>
      <c r="G741" s="54">
        <f t="shared" ref="G741:G747" si="386">F741-E741</f>
        <v>743851.04999999981</v>
      </c>
      <c r="H741" s="9"/>
      <c r="I741" s="2"/>
    </row>
    <row r="742" spans="1:9" x14ac:dyDescent="0.25">
      <c r="A742" s="28"/>
      <c r="B742" s="56" t="s">
        <v>79</v>
      </c>
      <c r="C742" s="56"/>
      <c r="D742" s="52">
        <f>D752+D768+D781</f>
        <v>-2069894</v>
      </c>
      <c r="E742" s="52">
        <f t="shared" ref="E742:F742" si="387">E752+E768+E781</f>
        <v>-2714379.8499999996</v>
      </c>
      <c r="F742" s="52">
        <f t="shared" si="387"/>
        <v>-2041181.74</v>
      </c>
      <c r="G742" s="52">
        <f t="shared" si="386"/>
        <v>673198.10999999964</v>
      </c>
      <c r="I742" s="2"/>
    </row>
    <row r="743" spans="1:9" x14ac:dyDescent="0.25">
      <c r="A743" s="28"/>
      <c r="B743" s="56" t="s">
        <v>80</v>
      </c>
      <c r="C743" s="56"/>
      <c r="D743" s="52">
        <f>D756+D771</f>
        <v>0</v>
      </c>
      <c r="E743" s="52">
        <f>E756+E771</f>
        <v>0</v>
      </c>
      <c r="F743" s="52">
        <f>F756+F771</f>
        <v>-170.34</v>
      </c>
      <c r="G743" s="52">
        <f t="shared" si="386"/>
        <v>-170.34</v>
      </c>
      <c r="I743" s="2"/>
    </row>
    <row r="744" spans="1:9" x14ac:dyDescent="0.25">
      <c r="A744" s="28"/>
      <c r="B744" s="28" t="s">
        <v>81</v>
      </c>
      <c r="C744" s="56"/>
      <c r="D744" s="52">
        <f>D758+D784</f>
        <v>-44151</v>
      </c>
      <c r="E744" s="52">
        <f t="shared" ref="E744:F744" si="388">E758+E784</f>
        <v>-300136.37</v>
      </c>
      <c r="F744" s="52">
        <f t="shared" si="388"/>
        <v>-213927.78999999998</v>
      </c>
      <c r="G744" s="52">
        <f t="shared" si="386"/>
        <v>86208.580000000016</v>
      </c>
      <c r="I744" s="2"/>
    </row>
    <row r="745" spans="1:9" x14ac:dyDescent="0.25">
      <c r="A745" s="28"/>
      <c r="B745" s="28" t="s">
        <v>82</v>
      </c>
      <c r="C745" s="56"/>
      <c r="D745" s="52">
        <f>D787+D762+D773</f>
        <v>-5146</v>
      </c>
      <c r="E745" s="52">
        <f>E787+E762+E773</f>
        <v>-19601.97</v>
      </c>
      <c r="F745" s="52">
        <f>F787+F762+F773</f>
        <v>-17640.449999999997</v>
      </c>
      <c r="G745" s="52">
        <f t="shared" si="386"/>
        <v>1961.5200000000041</v>
      </c>
      <c r="I745" s="2"/>
    </row>
    <row r="746" spans="1:9" x14ac:dyDescent="0.25">
      <c r="A746" s="28"/>
      <c r="B746" s="28" t="s">
        <v>85</v>
      </c>
      <c r="C746" s="56"/>
      <c r="D746" s="52">
        <f>D776+D790</f>
        <v>-12773</v>
      </c>
      <c r="E746" s="52">
        <f t="shared" ref="E746:F746" si="389">E776+E790</f>
        <v>-12773</v>
      </c>
      <c r="F746" s="52">
        <f t="shared" si="389"/>
        <v>-30119.820000000003</v>
      </c>
      <c r="G746" s="52">
        <f t="shared" si="386"/>
        <v>-17346.820000000003</v>
      </c>
      <c r="I746" s="2"/>
    </row>
    <row r="747" spans="1:9" x14ac:dyDescent="0.25">
      <c r="A747" s="51"/>
      <c r="B747" s="51" t="s">
        <v>99</v>
      </c>
      <c r="C747" s="59"/>
      <c r="D747" s="54">
        <f>SUM(D748:D750)</f>
        <v>-1940907</v>
      </c>
      <c r="E747" s="54">
        <f>SUM(E748:E751)</f>
        <v>-2619262.71</v>
      </c>
      <c r="F747" s="54">
        <f>SUM(F748:F751)</f>
        <v>-1881590.71</v>
      </c>
      <c r="G747" s="54">
        <f t="shared" si="386"/>
        <v>737672</v>
      </c>
      <c r="I747" s="2"/>
    </row>
    <row r="748" spans="1:9" x14ac:dyDescent="0.25">
      <c r="A748" s="28"/>
      <c r="B748" s="28"/>
      <c r="C748" s="56" t="s">
        <v>89</v>
      </c>
      <c r="D748" s="52">
        <f>D753+D759+D763</f>
        <v>-1043678</v>
      </c>
      <c r="E748" s="52">
        <f>E753+E759+E763</f>
        <v>-1322929.1299999999</v>
      </c>
      <c r="F748" s="52">
        <f>F753+F759+F763</f>
        <v>-912142.2</v>
      </c>
      <c r="G748" s="52">
        <f t="shared" ref="G748:G751" si="390">F748-E748</f>
        <v>410786.92999999993</v>
      </c>
      <c r="I748" s="2"/>
    </row>
    <row r="749" spans="1:9" x14ac:dyDescent="0.25">
      <c r="A749" s="28"/>
      <c r="B749" s="28"/>
      <c r="C749" s="56" t="s">
        <v>90</v>
      </c>
      <c r="D749" s="52">
        <f>D754+D760</f>
        <v>-653571</v>
      </c>
      <c r="E749" s="52">
        <f t="shared" ref="E749:F749" si="391">E754+E760</f>
        <v>-367415.42</v>
      </c>
      <c r="F749" s="52">
        <f t="shared" si="391"/>
        <v>-229694.77</v>
      </c>
      <c r="G749" s="52">
        <f t="shared" si="390"/>
        <v>137720.65</v>
      </c>
      <c r="I749" s="2"/>
    </row>
    <row r="750" spans="1:9" x14ac:dyDescent="0.25">
      <c r="A750" s="28"/>
      <c r="B750" s="28"/>
      <c r="C750" s="56" t="s">
        <v>100</v>
      </c>
      <c r="D750" s="52">
        <f>D755+D761</f>
        <v>-243658</v>
      </c>
      <c r="E750" s="52">
        <f>E755+E761</f>
        <v>-928918.16</v>
      </c>
      <c r="F750" s="52">
        <f>F755+F761</f>
        <v>-739588.77</v>
      </c>
      <c r="G750" s="52">
        <f t="shared" si="390"/>
        <v>189329.39</v>
      </c>
      <c r="I750" s="2"/>
    </row>
    <row r="751" spans="1:9" x14ac:dyDescent="0.25">
      <c r="A751" s="28"/>
      <c r="B751" s="28"/>
      <c r="C751" s="56" t="s">
        <v>95</v>
      </c>
      <c r="D751" s="52">
        <f>D757</f>
        <v>0</v>
      </c>
      <c r="E751" s="52">
        <f>E757</f>
        <v>0</v>
      </c>
      <c r="F751" s="52">
        <f>F757</f>
        <v>-164.97</v>
      </c>
      <c r="G751" s="52">
        <f t="shared" si="390"/>
        <v>-164.97</v>
      </c>
      <c r="I751" s="2"/>
    </row>
    <row r="752" spans="1:9" x14ac:dyDescent="0.25">
      <c r="A752" s="51"/>
      <c r="B752" s="51"/>
      <c r="C752" s="59" t="s">
        <v>79</v>
      </c>
      <c r="D752" s="54">
        <f>SUM(D753:D755)</f>
        <v>-1917341</v>
      </c>
      <c r="E752" s="54">
        <f t="shared" ref="E752:F752" si="392">SUM(E753:E755)</f>
        <v>-2353767.71</v>
      </c>
      <c r="F752" s="54">
        <f t="shared" si="392"/>
        <v>-1698789.97</v>
      </c>
      <c r="G752" s="54">
        <f>F752-E752</f>
        <v>654977.74</v>
      </c>
      <c r="I752" s="2"/>
    </row>
    <row r="753" spans="1:9" x14ac:dyDescent="0.25">
      <c r="A753" s="28"/>
      <c r="B753" s="28"/>
      <c r="C753" s="56" t="s">
        <v>89</v>
      </c>
      <c r="D753" s="52">
        <v>-1043178</v>
      </c>
      <c r="E753" s="52">
        <f>D753-168246.61</f>
        <v>-1211424.6099999999</v>
      </c>
      <c r="F753" s="52">
        <v>-841173.11</v>
      </c>
      <c r="G753" s="52">
        <f t="shared" ref="G753:G757" si="393">F753-E753</f>
        <v>370251.49999999988</v>
      </c>
      <c r="I753" s="2"/>
    </row>
    <row r="754" spans="1:9" x14ac:dyDescent="0.25">
      <c r="A754" s="28"/>
      <c r="B754" s="28"/>
      <c r="C754" s="56" t="s">
        <v>90</v>
      </c>
      <c r="D754" s="52">
        <v>-630505</v>
      </c>
      <c r="E754" s="52">
        <f>D754+308857.45+8000</f>
        <v>-313647.55</v>
      </c>
      <c r="F754" s="52">
        <v>-213952.12</v>
      </c>
      <c r="G754" s="52">
        <f t="shared" si="393"/>
        <v>99695.43</v>
      </c>
      <c r="I754" s="2"/>
    </row>
    <row r="755" spans="1:9" x14ac:dyDescent="0.25">
      <c r="A755" s="28"/>
      <c r="B755" s="28"/>
      <c r="C755" s="56" t="s">
        <v>100</v>
      </c>
      <c r="D755" s="52">
        <v>-243658</v>
      </c>
      <c r="E755" s="52">
        <f>D755-577037.55-8000</f>
        <v>-828695.55</v>
      </c>
      <c r="F755" s="52">
        <v>-643664.74</v>
      </c>
      <c r="G755" s="52">
        <f t="shared" si="393"/>
        <v>185030.81000000006</v>
      </c>
      <c r="I755" s="2"/>
    </row>
    <row r="756" spans="1:9" x14ac:dyDescent="0.25">
      <c r="A756" s="28"/>
      <c r="B756" s="28"/>
      <c r="C756" s="59" t="s">
        <v>80</v>
      </c>
      <c r="D756" s="52">
        <f>D757</f>
        <v>0</v>
      </c>
      <c r="E756" s="52">
        <f>E757</f>
        <v>0</v>
      </c>
      <c r="F756" s="52">
        <f>F757</f>
        <v>-164.97</v>
      </c>
      <c r="G756" s="52">
        <f t="shared" si="393"/>
        <v>-164.97</v>
      </c>
      <c r="I756" s="2"/>
    </row>
    <row r="757" spans="1:9" x14ac:dyDescent="0.25">
      <c r="A757" s="28"/>
      <c r="B757" s="28"/>
      <c r="C757" s="56" t="s">
        <v>95</v>
      </c>
      <c r="D757" s="52">
        <v>0</v>
      </c>
      <c r="E757" s="52">
        <v>0</v>
      </c>
      <c r="F757" s="52">
        <v>-164.97</v>
      </c>
      <c r="G757" s="52">
        <f t="shared" si="393"/>
        <v>-164.97</v>
      </c>
      <c r="I757" s="2"/>
    </row>
    <row r="758" spans="1:9" s="14" customFormat="1" x14ac:dyDescent="0.25">
      <c r="A758" s="51"/>
      <c r="B758" s="51"/>
      <c r="C758" s="59" t="s">
        <v>81</v>
      </c>
      <c r="D758" s="54">
        <f>SUM(D759:D761)</f>
        <v>-23566</v>
      </c>
      <c r="E758" s="54">
        <f>SUM(E759:E761)</f>
        <v>-265328.56</v>
      </c>
      <c r="F758" s="54">
        <f>SUM(F759:F761)</f>
        <v>-182469.33</v>
      </c>
      <c r="G758" s="54">
        <f>F758-E758</f>
        <v>82859.23000000001</v>
      </c>
      <c r="H758" s="9"/>
      <c r="I758" s="2"/>
    </row>
    <row r="759" spans="1:9" x14ac:dyDescent="0.25">
      <c r="A759" s="28"/>
      <c r="B759" s="28"/>
      <c r="C759" s="56" t="s">
        <v>89</v>
      </c>
      <c r="D759" s="52">
        <v>-500</v>
      </c>
      <c r="E759" s="52">
        <f>D759-110838.08</f>
        <v>-111338.08</v>
      </c>
      <c r="F759" s="52">
        <v>-70802.649999999994</v>
      </c>
      <c r="G759" s="52">
        <f>F759-E759</f>
        <v>40535.430000000008</v>
      </c>
      <c r="I759" s="2"/>
    </row>
    <row r="760" spans="1:9" x14ac:dyDescent="0.25">
      <c r="A760" s="28"/>
      <c r="B760" s="28"/>
      <c r="C760" s="56" t="s">
        <v>90</v>
      </c>
      <c r="D760" s="52">
        <v>-23066</v>
      </c>
      <c r="E760" s="52">
        <f>D760-30701.87</f>
        <v>-53767.869999999995</v>
      </c>
      <c r="F760" s="52">
        <v>-15742.65</v>
      </c>
      <c r="G760" s="52">
        <f>F760-E760</f>
        <v>38025.219999999994</v>
      </c>
      <c r="I760" s="2"/>
    </row>
    <row r="761" spans="1:9" x14ac:dyDescent="0.25">
      <c r="A761" s="28"/>
      <c r="B761" s="28"/>
      <c r="C761" s="56" t="s">
        <v>100</v>
      </c>
      <c r="D761" s="52">
        <v>0</v>
      </c>
      <c r="E761" s="52">
        <v>-100222.61</v>
      </c>
      <c r="F761" s="52">
        <v>-95924.03</v>
      </c>
      <c r="G761" s="52">
        <f>F761-E761</f>
        <v>4298.5800000000017</v>
      </c>
      <c r="I761" s="2"/>
    </row>
    <row r="762" spans="1:9" x14ac:dyDescent="0.25">
      <c r="A762" s="28"/>
      <c r="B762" s="28"/>
      <c r="C762" s="59" t="s">
        <v>82</v>
      </c>
      <c r="D762" s="52">
        <f>D763</f>
        <v>0</v>
      </c>
      <c r="E762" s="52">
        <f>E763</f>
        <v>-166.44</v>
      </c>
      <c r="F762" s="52">
        <f>F763</f>
        <v>-166.44</v>
      </c>
      <c r="G762" s="52">
        <f t="shared" ref="G762:G763" si="394">F762-E762</f>
        <v>0</v>
      </c>
      <c r="I762" s="2"/>
    </row>
    <row r="763" spans="1:9" x14ac:dyDescent="0.25">
      <c r="A763" s="28"/>
      <c r="B763" s="28"/>
      <c r="C763" s="56" t="s">
        <v>89</v>
      </c>
      <c r="D763" s="52">
        <v>0</v>
      </c>
      <c r="E763" s="52">
        <v>-166.44</v>
      </c>
      <c r="F763" s="52">
        <v>-166.44</v>
      </c>
      <c r="G763" s="52">
        <f t="shared" si="394"/>
        <v>0</v>
      </c>
      <c r="I763" s="2"/>
    </row>
    <row r="764" spans="1:9" x14ac:dyDescent="0.25">
      <c r="A764" s="51"/>
      <c r="B764" s="51" t="s">
        <v>115</v>
      </c>
      <c r="C764" s="59"/>
      <c r="D764" s="54">
        <f>SUM(D765:D767)</f>
        <v>-111354</v>
      </c>
      <c r="E764" s="54">
        <f>SUM(E765:E767)</f>
        <v>-403285.95</v>
      </c>
      <c r="F764" s="54">
        <f>SUM(F765:F767)</f>
        <v>-284727.89</v>
      </c>
      <c r="G764" s="54">
        <f>F764-E764</f>
        <v>118558.06</v>
      </c>
      <c r="I764" s="2"/>
    </row>
    <row r="765" spans="1:9" x14ac:dyDescent="0.25">
      <c r="A765" s="28"/>
      <c r="B765" s="28"/>
      <c r="C765" s="56" t="s">
        <v>89</v>
      </c>
      <c r="D765" s="52">
        <f t="shared" ref="D765:F766" si="395">D769+D774</f>
        <v>-83727</v>
      </c>
      <c r="E765" s="52">
        <f t="shared" si="395"/>
        <v>-139204.93</v>
      </c>
      <c r="F765" s="52">
        <f t="shared" si="395"/>
        <v>-136388.11000000002</v>
      </c>
      <c r="G765" s="52">
        <f t="shared" ref="G765:G767" si="396">F765-E765</f>
        <v>2816.8199999999779</v>
      </c>
      <c r="I765" s="2"/>
    </row>
    <row r="766" spans="1:9" x14ac:dyDescent="0.25">
      <c r="A766" s="28"/>
      <c r="B766" s="28"/>
      <c r="C766" s="56" t="s">
        <v>90</v>
      </c>
      <c r="D766" s="52">
        <f t="shared" si="395"/>
        <v>-27265</v>
      </c>
      <c r="E766" s="52">
        <f t="shared" si="395"/>
        <v>-263719.02</v>
      </c>
      <c r="F766" s="52">
        <f t="shared" si="395"/>
        <v>-147972.17000000001</v>
      </c>
      <c r="G766" s="52">
        <f t="shared" si="396"/>
        <v>115746.85</v>
      </c>
      <c r="I766" s="2"/>
    </row>
    <row r="767" spans="1:9" x14ac:dyDescent="0.25">
      <c r="A767" s="28"/>
      <c r="B767" s="28"/>
      <c r="C767" s="56" t="s">
        <v>91</v>
      </c>
      <c r="D767" s="52">
        <f>D776+D772</f>
        <v>-362</v>
      </c>
      <c r="E767" s="52">
        <f>E776+E772</f>
        <v>-362</v>
      </c>
      <c r="F767" s="52">
        <f>F776+F772</f>
        <v>-367.61</v>
      </c>
      <c r="G767" s="52">
        <f t="shared" si="396"/>
        <v>-5.6100000000000136</v>
      </c>
      <c r="I767" s="2"/>
    </row>
    <row r="768" spans="1:9" x14ac:dyDescent="0.25">
      <c r="A768" s="51"/>
      <c r="B768" s="51"/>
      <c r="C768" s="59" t="s">
        <v>79</v>
      </c>
      <c r="D768" s="54">
        <f>SUM(D769:D770)</f>
        <v>-110992</v>
      </c>
      <c r="E768" s="54">
        <f>SUM(E769:E770)</f>
        <v>-401646.36</v>
      </c>
      <c r="F768" s="54">
        <f>SUM(F769:F770)</f>
        <v>-283181.7</v>
      </c>
      <c r="G768" s="54">
        <f>F768-E768</f>
        <v>118464.65999999997</v>
      </c>
      <c r="I768" s="2"/>
    </row>
    <row r="769" spans="1:9" x14ac:dyDescent="0.25">
      <c r="A769" s="28"/>
      <c r="B769" s="28"/>
      <c r="C769" s="56" t="s">
        <v>89</v>
      </c>
      <c r="D769" s="52">
        <v>-83727</v>
      </c>
      <c r="E769" s="52">
        <f>D769-54998.67</f>
        <v>-138725.66999999998</v>
      </c>
      <c r="F769" s="52">
        <v>-135949.35</v>
      </c>
      <c r="G769" s="52">
        <f t="shared" ref="G769:G775" si="397">F769-E769</f>
        <v>2776.3199999999779</v>
      </c>
      <c r="I769" s="2"/>
    </row>
    <row r="770" spans="1:9" x14ac:dyDescent="0.25">
      <c r="A770" s="28"/>
      <c r="B770" s="28"/>
      <c r="C770" s="56" t="s">
        <v>90</v>
      </c>
      <c r="D770" s="52">
        <v>-27265</v>
      </c>
      <c r="E770" s="52">
        <f>D770-235655.69</f>
        <v>-262920.69</v>
      </c>
      <c r="F770" s="52">
        <v>-147232.35</v>
      </c>
      <c r="G770" s="52">
        <f t="shared" si="397"/>
        <v>115688.34</v>
      </c>
      <c r="I770" s="2"/>
    </row>
    <row r="771" spans="1:9" x14ac:dyDescent="0.25">
      <c r="A771" s="28"/>
      <c r="B771" s="28"/>
      <c r="C771" s="59" t="s">
        <v>80</v>
      </c>
      <c r="D771" s="52">
        <f>D772</f>
        <v>0</v>
      </c>
      <c r="E771" s="52">
        <f>E772</f>
        <v>0</v>
      </c>
      <c r="F771" s="52">
        <f>F772</f>
        <v>-5.37</v>
      </c>
      <c r="G771" s="52">
        <f t="shared" si="397"/>
        <v>-5.37</v>
      </c>
      <c r="I771" s="2"/>
    </row>
    <row r="772" spans="1:9" x14ac:dyDescent="0.25">
      <c r="A772" s="28"/>
      <c r="B772" s="28"/>
      <c r="C772" s="56" t="s">
        <v>95</v>
      </c>
      <c r="D772" s="52">
        <v>0</v>
      </c>
      <c r="E772" s="52">
        <v>0</v>
      </c>
      <c r="F772" s="52">
        <v>-5.37</v>
      </c>
      <c r="G772" s="52">
        <f t="shared" si="397"/>
        <v>-5.37</v>
      </c>
      <c r="I772" s="2"/>
    </row>
    <row r="773" spans="1:9" x14ac:dyDescent="0.25">
      <c r="A773" s="28"/>
      <c r="B773" s="28"/>
      <c r="C773" s="59" t="s">
        <v>82</v>
      </c>
      <c r="D773" s="52">
        <f>SUM(D774:D775)</f>
        <v>0</v>
      </c>
      <c r="E773" s="52">
        <f>SUM(E774:E775)</f>
        <v>-1277.5900000000001</v>
      </c>
      <c r="F773" s="52">
        <f>SUM(F774:F775)</f>
        <v>-1178.58</v>
      </c>
      <c r="G773" s="52">
        <f t="shared" si="397"/>
        <v>99.010000000000218</v>
      </c>
      <c r="I773" s="2"/>
    </row>
    <row r="774" spans="1:9" x14ac:dyDescent="0.25">
      <c r="A774" s="28"/>
      <c r="B774" s="28"/>
      <c r="C774" s="56" t="s">
        <v>89</v>
      </c>
      <c r="D774" s="52">
        <v>0</v>
      </c>
      <c r="E774" s="52">
        <v>-479.26</v>
      </c>
      <c r="F774" s="52">
        <v>-438.76</v>
      </c>
      <c r="G774" s="52">
        <f t="shared" si="397"/>
        <v>40.5</v>
      </c>
      <c r="I774" s="2"/>
    </row>
    <row r="775" spans="1:9" x14ac:dyDescent="0.25">
      <c r="A775" s="28"/>
      <c r="B775" s="28"/>
      <c r="C775" s="56" t="s">
        <v>90</v>
      </c>
      <c r="D775" s="52">
        <v>0</v>
      </c>
      <c r="E775" s="52">
        <v>-798.33</v>
      </c>
      <c r="F775" s="52">
        <v>-739.82</v>
      </c>
      <c r="G775" s="52">
        <f t="shared" si="397"/>
        <v>58.509999999999991</v>
      </c>
      <c r="I775" s="2"/>
    </row>
    <row r="776" spans="1:9" s="14" customFormat="1" x14ac:dyDescent="0.25">
      <c r="A776" s="51"/>
      <c r="B776" s="51"/>
      <c r="C776" s="59" t="s">
        <v>85</v>
      </c>
      <c r="D776" s="54">
        <v>-362</v>
      </c>
      <c r="E776" s="54">
        <f>D776</f>
        <v>-362</v>
      </c>
      <c r="F776" s="54">
        <v>-362.24</v>
      </c>
      <c r="G776" s="54">
        <f>F776-E776</f>
        <v>-0.24000000000000909</v>
      </c>
      <c r="H776" s="9"/>
      <c r="I776" s="2"/>
    </row>
    <row r="777" spans="1:9" x14ac:dyDescent="0.25">
      <c r="A777" s="51"/>
      <c r="B777" s="51" t="s">
        <v>88</v>
      </c>
      <c r="C777" s="59"/>
      <c r="D777" s="54">
        <f>SUM(D778:D780)</f>
        <v>-79703</v>
      </c>
      <c r="E777" s="54">
        <f>SUM(E778:E780)</f>
        <v>-24342.529999999995</v>
      </c>
      <c r="F777" s="54">
        <f>SUM(F778:F780)</f>
        <v>-136721.53999999998</v>
      </c>
      <c r="G777" s="54">
        <f>F777-E777</f>
        <v>-112379.00999999998</v>
      </c>
      <c r="I777" s="2"/>
    </row>
    <row r="778" spans="1:9" x14ac:dyDescent="0.25">
      <c r="A778" s="28"/>
      <c r="B778" s="28"/>
      <c r="C778" s="56" t="s">
        <v>89</v>
      </c>
      <c r="D778" s="52">
        <f>D782+D785+D788</f>
        <v>-50729</v>
      </c>
      <c r="E778" s="52">
        <f t="shared" ref="E778:F778" si="398">E782+E785+E788</f>
        <v>20519.52</v>
      </c>
      <c r="F778" s="52">
        <f t="shared" si="398"/>
        <v>-74172.31</v>
      </c>
      <c r="G778" s="52">
        <f t="shared" ref="G778:G780" si="399">F778-E778</f>
        <v>-94691.83</v>
      </c>
      <c r="I778" s="2"/>
    </row>
    <row r="779" spans="1:9" x14ac:dyDescent="0.25">
      <c r="A779" s="28"/>
      <c r="B779" s="28"/>
      <c r="C779" s="56" t="s">
        <v>90</v>
      </c>
      <c r="D779" s="52">
        <f>D783+D786+D789</f>
        <v>-16563</v>
      </c>
      <c r="E779" s="52">
        <f t="shared" ref="E779:F779" si="400">E783+E786+E789</f>
        <v>-32451.049999999996</v>
      </c>
      <c r="F779" s="52">
        <f t="shared" si="400"/>
        <v>-32791.65</v>
      </c>
      <c r="G779" s="52">
        <f t="shared" si="399"/>
        <v>-340.60000000000582</v>
      </c>
      <c r="I779" s="2"/>
    </row>
    <row r="780" spans="1:9" x14ac:dyDescent="0.25">
      <c r="A780" s="28"/>
      <c r="B780" s="28"/>
      <c r="C780" s="56" t="s">
        <v>91</v>
      </c>
      <c r="D780" s="52">
        <f>D790</f>
        <v>-12411</v>
      </c>
      <c r="E780" s="52">
        <f t="shared" ref="E780:F780" si="401">E790</f>
        <v>-12411</v>
      </c>
      <c r="F780" s="52">
        <f t="shared" si="401"/>
        <v>-29757.58</v>
      </c>
      <c r="G780" s="52">
        <f t="shared" si="399"/>
        <v>-17346.580000000002</v>
      </c>
      <c r="I780" s="2"/>
    </row>
    <row r="781" spans="1:9" x14ac:dyDescent="0.25">
      <c r="A781" s="51"/>
      <c r="B781" s="51"/>
      <c r="C781" s="59" t="s">
        <v>79</v>
      </c>
      <c r="D781" s="54">
        <f>SUM(D782:D783)</f>
        <v>-41561</v>
      </c>
      <c r="E781" s="54">
        <f>SUM(E782:E783)</f>
        <v>41034.22</v>
      </c>
      <c r="F781" s="54">
        <f>SUM(F782:F783)</f>
        <v>-59210.07</v>
      </c>
      <c r="G781" s="54">
        <f>F781-E781</f>
        <v>-100244.29000000001</v>
      </c>
      <c r="I781" s="2"/>
    </row>
    <row r="782" spans="1:9" x14ac:dyDescent="0.25">
      <c r="A782" s="28"/>
      <c r="B782" s="28"/>
      <c r="C782" s="56" t="s">
        <v>89</v>
      </c>
      <c r="D782" s="52">
        <v>-29298</v>
      </c>
      <c r="E782" s="52">
        <f>D782+45471+29298</f>
        <v>45471</v>
      </c>
      <c r="F782" s="52">
        <v>-51868.07</v>
      </c>
      <c r="G782" s="52">
        <f t="shared" ref="G782:G783" si="402">F782-E782</f>
        <v>-97339.07</v>
      </c>
      <c r="I782" s="2"/>
    </row>
    <row r="783" spans="1:9" x14ac:dyDescent="0.25">
      <c r="A783" s="28"/>
      <c r="B783" s="28"/>
      <c r="C783" s="28" t="s">
        <v>90</v>
      </c>
      <c r="D783" s="53">
        <v>-12263</v>
      </c>
      <c r="E783" s="53">
        <f>D783+7826.22</f>
        <v>-4436.78</v>
      </c>
      <c r="F783" s="53">
        <v>-7342</v>
      </c>
      <c r="G783" s="53">
        <f t="shared" si="402"/>
        <v>-2905.2200000000003</v>
      </c>
      <c r="I783" s="2"/>
    </row>
    <row r="784" spans="1:9" s="14" customFormat="1" x14ac:dyDescent="0.25">
      <c r="A784" s="51"/>
      <c r="B784" s="51"/>
      <c r="C784" s="59" t="s">
        <v>81</v>
      </c>
      <c r="D784" s="54">
        <f>SUM(D785:D786)</f>
        <v>-20585</v>
      </c>
      <c r="E784" s="54">
        <f t="shared" ref="E784:F784" si="403">SUM(E785:E786)</f>
        <v>-34807.81</v>
      </c>
      <c r="F784" s="54">
        <f t="shared" si="403"/>
        <v>-31458.46</v>
      </c>
      <c r="G784" s="54">
        <f>F784-E784</f>
        <v>3349.3499999999985</v>
      </c>
      <c r="H784" s="9"/>
      <c r="I784" s="2"/>
    </row>
    <row r="785" spans="1:9" x14ac:dyDescent="0.25">
      <c r="A785" s="28"/>
      <c r="B785" s="28"/>
      <c r="C785" s="56" t="s">
        <v>89</v>
      </c>
      <c r="D785" s="52">
        <v>-17145</v>
      </c>
      <c r="E785" s="52">
        <f>D785+2579.79</f>
        <v>-14565.21</v>
      </c>
      <c r="F785" s="52">
        <v>-11918.99</v>
      </c>
      <c r="G785" s="52">
        <f t="shared" ref="G785:G786" si="404">F785-E785</f>
        <v>2646.2199999999993</v>
      </c>
      <c r="I785" s="2"/>
    </row>
    <row r="786" spans="1:9" x14ac:dyDescent="0.25">
      <c r="A786" s="28"/>
      <c r="B786" s="28"/>
      <c r="C786" s="56" t="s">
        <v>90</v>
      </c>
      <c r="D786" s="52">
        <v>-3440</v>
      </c>
      <c r="E786" s="52">
        <f>D786-16802.6</f>
        <v>-20242.599999999999</v>
      </c>
      <c r="F786" s="52">
        <v>-19539.47</v>
      </c>
      <c r="G786" s="52">
        <f t="shared" si="404"/>
        <v>703.12999999999738</v>
      </c>
      <c r="I786" s="2"/>
    </row>
    <row r="787" spans="1:9" s="14" customFormat="1" x14ac:dyDescent="0.25">
      <c r="A787" s="51"/>
      <c r="B787" s="51"/>
      <c r="C787" s="59" t="s">
        <v>82</v>
      </c>
      <c r="D787" s="54">
        <f>SUM(D788:D789)</f>
        <v>-5146</v>
      </c>
      <c r="E787" s="54">
        <f t="shared" ref="E787:F787" si="405">SUM(E788:E789)</f>
        <v>-18157.940000000002</v>
      </c>
      <c r="F787" s="54">
        <f t="shared" si="405"/>
        <v>-16295.43</v>
      </c>
      <c r="G787" s="54">
        <f>F787-E787</f>
        <v>1862.510000000002</v>
      </c>
      <c r="H787" s="9"/>
      <c r="I787" s="2"/>
    </row>
    <row r="788" spans="1:9" x14ac:dyDescent="0.25">
      <c r="A788" s="28"/>
      <c r="B788" s="28"/>
      <c r="C788" s="56" t="s">
        <v>89</v>
      </c>
      <c r="D788" s="52">
        <v>-4286</v>
      </c>
      <c r="E788" s="52">
        <f>D788-6100.27</f>
        <v>-10386.27</v>
      </c>
      <c r="F788" s="52">
        <v>-10385.25</v>
      </c>
      <c r="G788" s="52">
        <f t="shared" ref="G788:G790" si="406">F788-E788</f>
        <v>1.0200000000004366</v>
      </c>
      <c r="I788" s="2"/>
    </row>
    <row r="789" spans="1:9" x14ac:dyDescent="0.25">
      <c r="A789" s="28"/>
      <c r="B789" s="28"/>
      <c r="C789" s="56" t="s">
        <v>90</v>
      </c>
      <c r="D789" s="52">
        <v>-860</v>
      </c>
      <c r="E789" s="52">
        <f>D789-6911.67</f>
        <v>-7771.67</v>
      </c>
      <c r="F789" s="52">
        <v>-5910.18</v>
      </c>
      <c r="G789" s="52">
        <f t="shared" si="406"/>
        <v>1861.4899999999998</v>
      </c>
      <c r="I789" s="2"/>
    </row>
    <row r="790" spans="1:9" s="14" customFormat="1" x14ac:dyDescent="0.25">
      <c r="A790" s="51"/>
      <c r="B790" s="51"/>
      <c r="C790" s="59" t="s">
        <v>85</v>
      </c>
      <c r="D790" s="54">
        <v>-12411</v>
      </c>
      <c r="E790" s="54">
        <f t="shared" ref="E790" si="407">D790</f>
        <v>-12411</v>
      </c>
      <c r="F790" s="54">
        <v>-29757.58</v>
      </c>
      <c r="G790" s="54">
        <f t="shared" si="406"/>
        <v>-17346.580000000002</v>
      </c>
      <c r="H790" s="9"/>
      <c r="I790" s="2"/>
    </row>
    <row r="791" spans="1:9" s="14" customFormat="1" ht="15.75" x14ac:dyDescent="0.25">
      <c r="A791" s="39" t="s">
        <v>134</v>
      </c>
      <c r="B791" s="51"/>
      <c r="C791" s="59"/>
      <c r="D791" s="54">
        <f>SUM(D792:D796)</f>
        <v>-695730</v>
      </c>
      <c r="E791" s="54">
        <f>SUM(E792:E796)</f>
        <v>-1313746.28</v>
      </c>
      <c r="F791" s="54">
        <f>SUM(F792:F796)</f>
        <v>-806466.23999999987</v>
      </c>
      <c r="G791" s="54">
        <f t="shared" ref="G791:G797" si="408">F791-E791</f>
        <v>507280.04000000015</v>
      </c>
      <c r="H791" s="9"/>
      <c r="I791" s="2"/>
    </row>
    <row r="792" spans="1:9" x14ac:dyDescent="0.25">
      <c r="A792" s="28"/>
      <c r="B792" s="56" t="s">
        <v>79</v>
      </c>
      <c r="C792" s="56"/>
      <c r="D792" s="52">
        <f>D802+D817</f>
        <v>-684493</v>
      </c>
      <c r="E792" s="52">
        <f>E802+E817</f>
        <v>-706729.20000000007</v>
      </c>
      <c r="F792" s="52">
        <f>F802+F817</f>
        <v>-656943.23999999987</v>
      </c>
      <c r="G792" s="52">
        <f t="shared" si="408"/>
        <v>49785.960000000196</v>
      </c>
      <c r="I792" s="2"/>
    </row>
    <row r="793" spans="1:9" x14ac:dyDescent="0.25">
      <c r="A793" s="28"/>
      <c r="B793" s="56" t="s">
        <v>80</v>
      </c>
      <c r="C793" s="56"/>
      <c r="D793" s="52">
        <f>D806</f>
        <v>0</v>
      </c>
      <c r="E793" s="52">
        <f>E806</f>
        <v>0</v>
      </c>
      <c r="F793" s="52">
        <f>F806</f>
        <v>-16.489999999999998</v>
      </c>
      <c r="G793" s="52">
        <f t="shared" si="408"/>
        <v>-16.489999999999998</v>
      </c>
      <c r="I793" s="2"/>
    </row>
    <row r="794" spans="1:9" x14ac:dyDescent="0.25">
      <c r="A794" s="28"/>
      <c r="B794" s="56" t="s">
        <v>81</v>
      </c>
      <c r="C794" s="56"/>
      <c r="D794" s="52">
        <f>D808</f>
        <v>-10125</v>
      </c>
      <c r="E794" s="52">
        <f t="shared" ref="E794:F794" si="409">E808</f>
        <v>-462673.37</v>
      </c>
      <c r="F794" s="52">
        <f t="shared" si="409"/>
        <v>-16986.84</v>
      </c>
      <c r="G794" s="52">
        <f t="shared" si="408"/>
        <v>445686.52999999997</v>
      </c>
      <c r="I794" s="2"/>
    </row>
    <row r="795" spans="1:9" x14ac:dyDescent="0.25">
      <c r="A795" s="28"/>
      <c r="B795" s="56" t="s">
        <v>82</v>
      </c>
      <c r="C795" s="56"/>
      <c r="D795" s="52">
        <f>D811</f>
        <v>0</v>
      </c>
      <c r="E795" s="52">
        <f>E811</f>
        <v>-143231.71</v>
      </c>
      <c r="F795" s="52">
        <f>F811</f>
        <v>-131407.29</v>
      </c>
      <c r="G795" s="52">
        <f t="shared" si="408"/>
        <v>11824.419999999984</v>
      </c>
      <c r="I795" s="2"/>
    </row>
    <row r="796" spans="1:9" x14ac:dyDescent="0.25">
      <c r="A796" s="28"/>
      <c r="B796" s="56" t="s">
        <v>85</v>
      </c>
      <c r="C796" s="56"/>
      <c r="D796" s="52">
        <f>D814</f>
        <v>-1112</v>
      </c>
      <c r="E796" s="52">
        <f t="shared" ref="E796:F796" si="410">E814</f>
        <v>-1112</v>
      </c>
      <c r="F796" s="52">
        <f t="shared" si="410"/>
        <v>-1112.3800000000001</v>
      </c>
      <c r="G796" s="52">
        <f t="shared" si="408"/>
        <v>-0.38000000000010914</v>
      </c>
      <c r="I796" s="2"/>
    </row>
    <row r="797" spans="1:9" x14ac:dyDescent="0.25">
      <c r="A797" s="51"/>
      <c r="B797" s="59" t="s">
        <v>115</v>
      </c>
      <c r="C797" s="59"/>
      <c r="D797" s="54">
        <f>SUM(D798:D801)</f>
        <v>-695730</v>
      </c>
      <c r="E797" s="54">
        <f>SUM(E798:E801)</f>
        <v>-1307617.49</v>
      </c>
      <c r="F797" s="54">
        <f>SUM(F798:F801)</f>
        <v>-806466.24</v>
      </c>
      <c r="G797" s="54">
        <f t="shared" si="408"/>
        <v>501151.25</v>
      </c>
      <c r="I797" s="2"/>
    </row>
    <row r="798" spans="1:9" x14ac:dyDescent="0.25">
      <c r="A798" s="28"/>
      <c r="B798" s="28"/>
      <c r="C798" s="56" t="s">
        <v>89</v>
      </c>
      <c r="D798" s="52">
        <f t="shared" ref="D798:F799" si="411">D803+D809+D812</f>
        <v>-452479</v>
      </c>
      <c r="E798" s="52">
        <f t="shared" si="411"/>
        <v>-814342.38</v>
      </c>
      <c r="F798" s="52">
        <f t="shared" si="411"/>
        <v>-472119.56</v>
      </c>
      <c r="G798" s="52">
        <f t="shared" ref="G798:G801" si="412">F798-E798</f>
        <v>342222.82</v>
      </c>
      <c r="I798" s="2"/>
    </row>
    <row r="799" spans="1:9" x14ac:dyDescent="0.25">
      <c r="A799" s="28"/>
      <c r="B799" s="28"/>
      <c r="C799" s="56" t="s">
        <v>90</v>
      </c>
      <c r="D799" s="52">
        <f t="shared" si="411"/>
        <v>-240489</v>
      </c>
      <c r="E799" s="52">
        <f t="shared" si="411"/>
        <v>-490513.11000000004</v>
      </c>
      <c r="F799" s="52">
        <f t="shared" si="411"/>
        <v>-331567.99</v>
      </c>
      <c r="G799" s="52">
        <f t="shared" si="412"/>
        <v>158945.12000000005</v>
      </c>
      <c r="I799" s="2"/>
    </row>
    <row r="800" spans="1:9" x14ac:dyDescent="0.25">
      <c r="A800" s="28"/>
      <c r="B800" s="28"/>
      <c r="C800" s="56" t="s">
        <v>100</v>
      </c>
      <c r="D800" s="52">
        <f>D805</f>
        <v>-1650</v>
      </c>
      <c r="E800" s="52">
        <f t="shared" ref="E800:F800" si="413">E805</f>
        <v>-1650</v>
      </c>
      <c r="F800" s="52">
        <f t="shared" si="413"/>
        <v>-1649.82</v>
      </c>
      <c r="G800" s="52">
        <f t="shared" si="412"/>
        <v>0.18000000000006366</v>
      </c>
      <c r="I800" s="2"/>
    </row>
    <row r="801" spans="1:9" x14ac:dyDescent="0.25">
      <c r="A801" s="28"/>
      <c r="B801" s="28"/>
      <c r="C801" s="56" t="s">
        <v>91</v>
      </c>
      <c r="D801" s="52">
        <f>D814+D807</f>
        <v>-1112</v>
      </c>
      <c r="E801" s="52">
        <f>E814+E807</f>
        <v>-1112</v>
      </c>
      <c r="F801" s="52">
        <f>F814+F807</f>
        <v>-1128.8700000000001</v>
      </c>
      <c r="G801" s="52">
        <f t="shared" si="412"/>
        <v>-16.870000000000118</v>
      </c>
      <c r="I801" s="2"/>
    </row>
    <row r="802" spans="1:9" x14ac:dyDescent="0.25">
      <c r="A802" s="51"/>
      <c r="B802" s="51"/>
      <c r="C802" s="59" t="s">
        <v>79</v>
      </c>
      <c r="D802" s="54">
        <f>SUM(D803:D805)</f>
        <v>-684493</v>
      </c>
      <c r="E802" s="54">
        <f t="shared" ref="E802:F802" si="414">SUM(E803:E805)</f>
        <v>-700600.41</v>
      </c>
      <c r="F802" s="54">
        <f t="shared" si="414"/>
        <v>-656943.23999999987</v>
      </c>
      <c r="G802" s="54">
        <f>F802-E802</f>
        <v>43657.170000000158</v>
      </c>
      <c r="I802" s="2"/>
    </row>
    <row r="803" spans="1:9" x14ac:dyDescent="0.25">
      <c r="A803" s="28"/>
      <c r="B803" s="28"/>
      <c r="C803" s="56" t="s">
        <v>89</v>
      </c>
      <c r="D803" s="52">
        <v>-443704</v>
      </c>
      <c r="E803" s="52">
        <f t="shared" ref="E803:E805" si="415">D803</f>
        <v>-443704</v>
      </c>
      <c r="F803" s="52">
        <v>-413239.3</v>
      </c>
      <c r="G803" s="52">
        <f t="shared" ref="G803:G807" si="416">F803-E803</f>
        <v>30464.700000000012</v>
      </c>
      <c r="I803" s="2"/>
    </row>
    <row r="804" spans="1:9" x14ac:dyDescent="0.25">
      <c r="A804" s="28"/>
      <c r="B804" s="28"/>
      <c r="C804" s="56" t="s">
        <v>90</v>
      </c>
      <c r="D804" s="52">
        <v>-239139</v>
      </c>
      <c r="E804" s="52">
        <f>D804-16107.41</f>
        <v>-255246.41</v>
      </c>
      <c r="F804" s="52">
        <v>-242054.12</v>
      </c>
      <c r="G804" s="52">
        <f t="shared" si="416"/>
        <v>13192.290000000008</v>
      </c>
      <c r="I804" s="2"/>
    </row>
    <row r="805" spans="1:9" ht="14.25" customHeight="1" x14ac:dyDescent="0.25">
      <c r="A805" s="28"/>
      <c r="B805" s="28"/>
      <c r="C805" s="56" t="s">
        <v>100</v>
      </c>
      <c r="D805" s="52">
        <v>-1650</v>
      </c>
      <c r="E805" s="52">
        <f t="shared" si="415"/>
        <v>-1650</v>
      </c>
      <c r="F805" s="52">
        <v>-1649.82</v>
      </c>
      <c r="G805" s="52">
        <f t="shared" si="416"/>
        <v>0.18000000000006366</v>
      </c>
      <c r="I805" s="2"/>
    </row>
    <row r="806" spans="1:9" ht="14.25" customHeight="1" x14ac:dyDescent="0.25">
      <c r="A806" s="28"/>
      <c r="B806" s="28"/>
      <c r="C806" s="59" t="s">
        <v>80</v>
      </c>
      <c r="D806" s="52">
        <f>D807</f>
        <v>0</v>
      </c>
      <c r="E806" s="52">
        <f>E807</f>
        <v>0</v>
      </c>
      <c r="F806" s="52">
        <f>F807</f>
        <v>-16.489999999999998</v>
      </c>
      <c r="G806" s="52">
        <f t="shared" si="416"/>
        <v>-16.489999999999998</v>
      </c>
      <c r="I806" s="2"/>
    </row>
    <row r="807" spans="1:9" ht="14.25" customHeight="1" x14ac:dyDescent="0.25">
      <c r="A807" s="28"/>
      <c r="B807" s="28"/>
      <c r="C807" s="56" t="s">
        <v>95</v>
      </c>
      <c r="D807" s="52">
        <v>0</v>
      </c>
      <c r="E807" s="52">
        <v>0</v>
      </c>
      <c r="F807" s="52">
        <v>-16.489999999999998</v>
      </c>
      <c r="G807" s="52">
        <f t="shared" si="416"/>
        <v>-16.489999999999998</v>
      </c>
      <c r="I807" s="2"/>
    </row>
    <row r="808" spans="1:9" s="14" customFormat="1" x14ac:dyDescent="0.25">
      <c r="A808" s="51"/>
      <c r="B808" s="51"/>
      <c r="C808" s="59" t="s">
        <v>81</v>
      </c>
      <c r="D808" s="54">
        <f>SUM(D809:D810)</f>
        <v>-10125</v>
      </c>
      <c r="E808" s="54">
        <f>SUM(E809:E810)</f>
        <v>-462673.37</v>
      </c>
      <c r="F808" s="54">
        <f>SUM(F809:F810)</f>
        <v>-16986.84</v>
      </c>
      <c r="G808" s="54">
        <f t="shared" ref="G808:G825" si="417">F808-E808</f>
        <v>445686.52999999997</v>
      </c>
      <c r="H808" s="9"/>
      <c r="I808" s="2"/>
    </row>
    <row r="809" spans="1:9" x14ac:dyDescent="0.25">
      <c r="A809" s="28"/>
      <c r="B809" s="28"/>
      <c r="C809" s="56" t="s">
        <v>89</v>
      </c>
      <c r="D809" s="52">
        <v>-8775</v>
      </c>
      <c r="E809" s="52">
        <f>D809-306950.37</f>
        <v>-315725.37</v>
      </c>
      <c r="F809" s="52">
        <v>-15305.05</v>
      </c>
      <c r="G809" s="52">
        <f t="shared" si="417"/>
        <v>300420.32</v>
      </c>
      <c r="I809" s="2"/>
    </row>
    <row r="810" spans="1:9" x14ac:dyDescent="0.25">
      <c r="A810" s="28"/>
      <c r="B810" s="28"/>
      <c r="C810" s="56" t="s">
        <v>90</v>
      </c>
      <c r="D810" s="52">
        <v>-1350</v>
      </c>
      <c r="E810" s="52">
        <f>D810-145598</f>
        <v>-146948</v>
      </c>
      <c r="F810" s="52">
        <v>-1681.79</v>
      </c>
      <c r="G810" s="52">
        <f t="shared" si="417"/>
        <v>145266.21</v>
      </c>
      <c r="I810" s="2"/>
    </row>
    <row r="811" spans="1:9" x14ac:dyDescent="0.25">
      <c r="A811" s="28"/>
      <c r="B811" s="28"/>
      <c r="C811" s="59" t="s">
        <v>82</v>
      </c>
      <c r="D811" s="52">
        <f>SUM(D812:D813)</f>
        <v>0</v>
      </c>
      <c r="E811" s="52">
        <f>SUM(E812:E813)</f>
        <v>-143231.71</v>
      </c>
      <c r="F811" s="52">
        <f>SUM(F812:F813)</f>
        <v>-131407.29</v>
      </c>
      <c r="G811" s="52">
        <f t="shared" si="417"/>
        <v>11824.419999999984</v>
      </c>
      <c r="I811" s="2"/>
    </row>
    <row r="812" spans="1:9" x14ac:dyDescent="0.25">
      <c r="A812" s="28"/>
      <c r="B812" s="28"/>
      <c r="C812" s="56" t="s">
        <v>89</v>
      </c>
      <c r="D812" s="52">
        <v>0</v>
      </c>
      <c r="E812" s="52">
        <v>-54913.01</v>
      </c>
      <c r="F812" s="52">
        <v>-43575.21</v>
      </c>
      <c r="G812" s="52">
        <f t="shared" si="417"/>
        <v>11337.800000000003</v>
      </c>
      <c r="I812" s="2"/>
    </row>
    <row r="813" spans="1:9" x14ac:dyDescent="0.25">
      <c r="A813" s="28"/>
      <c r="B813" s="28"/>
      <c r="C813" s="56" t="s">
        <v>90</v>
      </c>
      <c r="D813" s="52">
        <v>0</v>
      </c>
      <c r="E813" s="52">
        <v>-88318.7</v>
      </c>
      <c r="F813" s="52">
        <v>-87832.08</v>
      </c>
      <c r="G813" s="52">
        <f t="shared" si="417"/>
        <v>486.61999999999534</v>
      </c>
      <c r="I813" s="2"/>
    </row>
    <row r="814" spans="1:9" s="14" customFormat="1" x14ac:dyDescent="0.25">
      <c r="A814" s="51"/>
      <c r="B814" s="51"/>
      <c r="C814" s="59" t="s">
        <v>85</v>
      </c>
      <c r="D814" s="54">
        <v>-1112</v>
      </c>
      <c r="E814" s="54">
        <f>D814</f>
        <v>-1112</v>
      </c>
      <c r="F814" s="54">
        <v>-1112.3800000000001</v>
      </c>
      <c r="G814" s="54">
        <f t="shared" si="417"/>
        <v>-0.38000000000010914</v>
      </c>
      <c r="H814" s="9"/>
      <c r="I814" s="2"/>
    </row>
    <row r="815" spans="1:9" s="14" customFormat="1" x14ac:dyDescent="0.25">
      <c r="A815" s="51"/>
      <c r="B815" s="51" t="s">
        <v>88</v>
      </c>
      <c r="C815" s="59"/>
      <c r="D815" s="54">
        <f>D816</f>
        <v>0</v>
      </c>
      <c r="E815" s="54">
        <f>E816</f>
        <v>-6128.79</v>
      </c>
      <c r="F815" s="54">
        <f>F816</f>
        <v>0</v>
      </c>
      <c r="G815" s="54">
        <f t="shared" si="417"/>
        <v>6128.79</v>
      </c>
      <c r="H815" s="9"/>
      <c r="I815" s="2"/>
    </row>
    <row r="816" spans="1:9" s="14" customFormat="1" x14ac:dyDescent="0.25">
      <c r="A816" s="51"/>
      <c r="B816" s="51"/>
      <c r="C816" s="56" t="s">
        <v>90</v>
      </c>
      <c r="D816" s="52">
        <f>D818</f>
        <v>0</v>
      </c>
      <c r="E816" s="52">
        <f>E818</f>
        <v>-6128.79</v>
      </c>
      <c r="F816" s="52">
        <f>F818</f>
        <v>0</v>
      </c>
      <c r="G816" s="52">
        <f t="shared" si="417"/>
        <v>6128.79</v>
      </c>
      <c r="H816" s="9"/>
      <c r="I816" s="2"/>
    </row>
    <row r="817" spans="1:9" s="14" customFormat="1" x14ac:dyDescent="0.25">
      <c r="A817" s="51"/>
      <c r="B817" s="51"/>
      <c r="C817" s="59" t="s">
        <v>79</v>
      </c>
      <c r="D817" s="54">
        <f>D818</f>
        <v>0</v>
      </c>
      <c r="E817" s="54">
        <f>E818</f>
        <v>-6128.79</v>
      </c>
      <c r="F817" s="54">
        <f>F818</f>
        <v>0</v>
      </c>
      <c r="G817" s="54">
        <f t="shared" si="417"/>
        <v>6128.79</v>
      </c>
      <c r="H817" s="9"/>
      <c r="I817" s="2"/>
    </row>
    <row r="818" spans="1:9" s="14" customFormat="1" x14ac:dyDescent="0.25">
      <c r="A818" s="51"/>
      <c r="B818" s="51"/>
      <c r="C818" s="56" t="s">
        <v>90</v>
      </c>
      <c r="D818" s="52">
        <v>0</v>
      </c>
      <c r="E818" s="52">
        <v>-6128.79</v>
      </c>
      <c r="F818" s="52">
        <v>0</v>
      </c>
      <c r="G818" s="54">
        <f t="shared" si="417"/>
        <v>6128.79</v>
      </c>
      <c r="H818" s="9"/>
      <c r="I818" s="2"/>
    </row>
    <row r="819" spans="1:9" s="14" customFormat="1" ht="15.75" x14ac:dyDescent="0.25">
      <c r="A819" s="39" t="s">
        <v>135</v>
      </c>
      <c r="B819" s="51"/>
      <c r="C819" s="59"/>
      <c r="D819" s="54">
        <f>SUM(D820:D824)</f>
        <v>-4965427</v>
      </c>
      <c r="E819" s="54">
        <f>SUM(E820:E824)</f>
        <v>-6012326.2599999998</v>
      </c>
      <c r="F819" s="54">
        <f>SUM(F820:F824)</f>
        <v>-4545597.9700000007</v>
      </c>
      <c r="G819" s="54">
        <f t="shared" si="417"/>
        <v>1466728.2899999991</v>
      </c>
      <c r="H819" s="9"/>
      <c r="I819" s="2"/>
    </row>
    <row r="820" spans="1:9" x14ac:dyDescent="0.25">
      <c r="A820" s="28"/>
      <c r="B820" s="56" t="s">
        <v>79</v>
      </c>
      <c r="C820" s="56"/>
      <c r="D820" s="52">
        <f>D829+D843</f>
        <v>-4829990</v>
      </c>
      <c r="E820" s="52">
        <f>E829+E843</f>
        <v>-5013577.37</v>
      </c>
      <c r="F820" s="52">
        <f>F829+F843</f>
        <v>-4336248.41</v>
      </c>
      <c r="G820" s="52">
        <f t="shared" si="417"/>
        <v>677328.96</v>
      </c>
      <c r="I820" s="2"/>
    </row>
    <row r="821" spans="1:9" x14ac:dyDescent="0.25">
      <c r="A821" s="28"/>
      <c r="B821" s="56" t="s">
        <v>80</v>
      </c>
      <c r="C821" s="56"/>
      <c r="D821" s="52">
        <f>D832</f>
        <v>0</v>
      </c>
      <c r="E821" s="52">
        <f>E832</f>
        <v>0</v>
      </c>
      <c r="F821" s="52">
        <f>F832</f>
        <v>-16.05</v>
      </c>
      <c r="G821" s="52">
        <f t="shared" si="417"/>
        <v>-16.05</v>
      </c>
      <c r="I821" s="2"/>
    </row>
    <row r="822" spans="1:9" x14ac:dyDescent="0.25">
      <c r="A822" s="28"/>
      <c r="B822" s="56" t="s">
        <v>81</v>
      </c>
      <c r="C822" s="56"/>
      <c r="D822" s="52">
        <f>D834</f>
        <v>-134354</v>
      </c>
      <c r="E822" s="52">
        <f t="shared" ref="E822:F822" si="418">E834</f>
        <v>-762713.72</v>
      </c>
      <c r="F822" s="52">
        <f t="shared" si="418"/>
        <v>-101183.69</v>
      </c>
      <c r="G822" s="52">
        <f t="shared" si="417"/>
        <v>661530.03</v>
      </c>
      <c r="I822" s="2"/>
    </row>
    <row r="823" spans="1:9" x14ac:dyDescent="0.25">
      <c r="A823" s="28"/>
      <c r="B823" s="56" t="s">
        <v>82</v>
      </c>
      <c r="C823" s="56"/>
      <c r="D823" s="52">
        <f>D837</f>
        <v>0</v>
      </c>
      <c r="E823" s="52">
        <f>E837</f>
        <v>-234952.17</v>
      </c>
      <c r="F823" s="52">
        <f>F837</f>
        <v>-107067.19</v>
      </c>
      <c r="G823" s="52">
        <f t="shared" si="417"/>
        <v>127884.98000000001</v>
      </c>
      <c r="I823" s="2"/>
    </row>
    <row r="824" spans="1:9" x14ac:dyDescent="0.25">
      <c r="A824" s="28"/>
      <c r="B824" s="28" t="s">
        <v>85</v>
      </c>
      <c r="C824" s="28"/>
      <c r="D824" s="53">
        <f>D840</f>
        <v>-1083</v>
      </c>
      <c r="E824" s="53">
        <f>E840</f>
        <v>-1083</v>
      </c>
      <c r="F824" s="53">
        <f>F840</f>
        <v>-1082.6300000000001</v>
      </c>
      <c r="G824" s="53">
        <f t="shared" si="417"/>
        <v>0.36999999999989086</v>
      </c>
      <c r="I824" s="2"/>
    </row>
    <row r="825" spans="1:9" x14ac:dyDescent="0.25">
      <c r="A825" s="51"/>
      <c r="B825" s="51" t="s">
        <v>115</v>
      </c>
      <c r="C825" s="59"/>
      <c r="D825" s="54">
        <f>SUM(D826:D828)</f>
        <v>-4965427</v>
      </c>
      <c r="E825" s="54">
        <f>SUM(E826:E828)</f>
        <v>-6011248.2999999998</v>
      </c>
      <c r="F825" s="54">
        <f>SUM(F826:F828)</f>
        <v>-4545597.97</v>
      </c>
      <c r="G825" s="54">
        <f t="shared" si="417"/>
        <v>1465650.33</v>
      </c>
      <c r="I825" s="2"/>
    </row>
    <row r="826" spans="1:9" x14ac:dyDescent="0.25">
      <c r="A826" s="28"/>
      <c r="B826" s="28"/>
      <c r="C826" s="56" t="s">
        <v>89</v>
      </c>
      <c r="D826" s="52">
        <f>D830+D835+D838</f>
        <v>-598926</v>
      </c>
      <c r="E826" s="52">
        <f>E830+E835+E838</f>
        <v>-969365.13000000012</v>
      </c>
      <c r="F826" s="52">
        <f>F830+F835+F838</f>
        <v>-384616.79</v>
      </c>
      <c r="G826" s="52">
        <f t="shared" ref="G826:G828" si="419">F826-E826</f>
        <v>584748.34000000008</v>
      </c>
      <c r="I826" s="2"/>
    </row>
    <row r="827" spans="1:9" x14ac:dyDescent="0.25">
      <c r="A827" s="28"/>
      <c r="B827" s="28"/>
      <c r="C827" s="28" t="s">
        <v>90</v>
      </c>
      <c r="D827" s="53">
        <f>D831+D839+D844</f>
        <v>-4365418</v>
      </c>
      <c r="E827" s="53">
        <f>E831+E839+E836</f>
        <v>-5040800.17</v>
      </c>
      <c r="F827" s="53">
        <f>F831+F839+F836+F844</f>
        <v>-4159882.5</v>
      </c>
      <c r="G827" s="52">
        <f t="shared" si="419"/>
        <v>880917.66999999993</v>
      </c>
      <c r="I827" s="2"/>
    </row>
    <row r="828" spans="1:9" x14ac:dyDescent="0.25">
      <c r="A828" s="28"/>
      <c r="B828" s="28"/>
      <c r="C828" s="56" t="s">
        <v>91</v>
      </c>
      <c r="D828" s="53">
        <f>D833+D840</f>
        <v>-1083</v>
      </c>
      <c r="E828" s="53">
        <f>E833+E840</f>
        <v>-1083</v>
      </c>
      <c r="F828" s="53">
        <f>F833+F840</f>
        <v>-1098.68</v>
      </c>
      <c r="G828" s="53">
        <f t="shared" si="419"/>
        <v>-15.680000000000064</v>
      </c>
      <c r="I828" s="2"/>
    </row>
    <row r="829" spans="1:9" x14ac:dyDescent="0.25">
      <c r="A829" s="51"/>
      <c r="B829" s="51"/>
      <c r="C829" s="59" t="s">
        <v>79</v>
      </c>
      <c r="D829" s="54">
        <f>SUM(D830:D831)</f>
        <v>-4829990</v>
      </c>
      <c r="E829" s="54">
        <f>SUM(E830:E831)</f>
        <v>-5012499.41</v>
      </c>
      <c r="F829" s="54">
        <f>SUM(F830:F831)</f>
        <v>-4336248.41</v>
      </c>
      <c r="G829" s="54">
        <f>F829-E829</f>
        <v>676251</v>
      </c>
      <c r="I829" s="2"/>
    </row>
    <row r="830" spans="1:9" x14ac:dyDescent="0.25">
      <c r="A830" s="28"/>
      <c r="B830" s="28"/>
      <c r="C830" s="28" t="s">
        <v>89</v>
      </c>
      <c r="D830" s="53">
        <v>-464572</v>
      </c>
      <c r="E830" s="53">
        <f>D830-123923.41+40000</f>
        <v>-548495.41</v>
      </c>
      <c r="F830" s="53">
        <v>-320059.21000000002</v>
      </c>
      <c r="G830" s="53">
        <f t="shared" ref="G830:G833" si="420">F830-E830</f>
        <v>228436.2</v>
      </c>
      <c r="I830" s="2"/>
    </row>
    <row r="831" spans="1:9" x14ac:dyDescent="0.25">
      <c r="A831" s="28"/>
      <c r="B831" s="28"/>
      <c r="C831" s="56" t="s">
        <v>90</v>
      </c>
      <c r="D831" s="52">
        <v>-4365418</v>
      </c>
      <c r="E831" s="52">
        <f>D831-98586</f>
        <v>-4464004</v>
      </c>
      <c r="F831" s="52">
        <v>-4016189.2</v>
      </c>
      <c r="G831" s="52">
        <f t="shared" si="420"/>
        <v>447814.79999999981</v>
      </c>
      <c r="I831" s="2"/>
    </row>
    <row r="832" spans="1:9" x14ac:dyDescent="0.25">
      <c r="A832" s="28"/>
      <c r="B832" s="28"/>
      <c r="C832" s="59" t="s">
        <v>80</v>
      </c>
      <c r="D832" s="52">
        <f>D833</f>
        <v>0</v>
      </c>
      <c r="E832" s="52">
        <f>E833</f>
        <v>0</v>
      </c>
      <c r="F832" s="52">
        <f>F833</f>
        <v>-16.05</v>
      </c>
      <c r="G832" s="52">
        <f t="shared" si="420"/>
        <v>-16.05</v>
      </c>
      <c r="I832" s="2"/>
    </row>
    <row r="833" spans="1:9" x14ac:dyDescent="0.25">
      <c r="A833" s="28"/>
      <c r="B833" s="28"/>
      <c r="C833" s="56" t="s">
        <v>95</v>
      </c>
      <c r="D833" s="52">
        <v>0</v>
      </c>
      <c r="E833" s="52">
        <v>0</v>
      </c>
      <c r="F833" s="52">
        <v>-16.05</v>
      </c>
      <c r="G833" s="52">
        <f t="shared" si="420"/>
        <v>-16.05</v>
      </c>
      <c r="I833" s="2"/>
    </row>
    <row r="834" spans="1:9" s="14" customFormat="1" x14ac:dyDescent="0.25">
      <c r="A834" s="51"/>
      <c r="B834" s="51"/>
      <c r="C834" s="59" t="s">
        <v>81</v>
      </c>
      <c r="D834" s="54">
        <f>SUM(D835:D836)</f>
        <v>-134354</v>
      </c>
      <c r="E834" s="54">
        <f>SUM(E835:E836)</f>
        <v>-762713.72</v>
      </c>
      <c r="F834" s="54">
        <f>SUM(F835:F836)</f>
        <v>-101183.69</v>
      </c>
      <c r="G834" s="54">
        <f t="shared" ref="G834:G851" si="421">F834-E834</f>
        <v>661530.03</v>
      </c>
      <c r="H834" s="9"/>
      <c r="I834" s="2"/>
    </row>
    <row r="835" spans="1:9" x14ac:dyDescent="0.25">
      <c r="A835" s="28"/>
      <c r="B835" s="28"/>
      <c r="C835" s="56" t="s">
        <v>89</v>
      </c>
      <c r="D835" s="52">
        <v>-134354</v>
      </c>
      <c r="E835" s="52">
        <f>D835-283083.19</f>
        <v>-417437.19</v>
      </c>
      <c r="F835" s="52">
        <v>-62601.67</v>
      </c>
      <c r="G835" s="52">
        <f t="shared" si="421"/>
        <v>354835.52</v>
      </c>
      <c r="I835" s="2"/>
    </row>
    <row r="836" spans="1:9" x14ac:dyDescent="0.25">
      <c r="A836" s="28"/>
      <c r="B836" s="28"/>
      <c r="C836" s="56" t="s">
        <v>136</v>
      </c>
      <c r="D836" s="52">
        <v>0</v>
      </c>
      <c r="E836" s="52">
        <v>-345276.53</v>
      </c>
      <c r="F836" s="52">
        <v>-38582.019999999997</v>
      </c>
      <c r="G836" s="52">
        <f t="shared" si="421"/>
        <v>306694.51</v>
      </c>
      <c r="I836" s="2"/>
    </row>
    <row r="837" spans="1:9" x14ac:dyDescent="0.25">
      <c r="A837" s="28"/>
      <c r="B837" s="28"/>
      <c r="C837" s="59" t="s">
        <v>82</v>
      </c>
      <c r="D837" s="52">
        <f>SUM(D838:D839)</f>
        <v>0</v>
      </c>
      <c r="E837" s="52">
        <f>SUM(E838:E839)</f>
        <v>-234952.17</v>
      </c>
      <c r="F837" s="52">
        <f>SUM(F838:F839)</f>
        <v>-107067.19</v>
      </c>
      <c r="G837" s="52">
        <f t="shared" si="421"/>
        <v>127884.98000000001</v>
      </c>
      <c r="I837" s="2"/>
    </row>
    <row r="838" spans="1:9" x14ac:dyDescent="0.25">
      <c r="A838" s="28"/>
      <c r="B838" s="28"/>
      <c r="C838" s="56" t="s">
        <v>89</v>
      </c>
      <c r="D838" s="52">
        <v>0</v>
      </c>
      <c r="E838" s="52">
        <v>-3432.53</v>
      </c>
      <c r="F838" s="52">
        <v>-1955.91</v>
      </c>
      <c r="G838" s="52">
        <f t="shared" si="421"/>
        <v>1476.6200000000001</v>
      </c>
      <c r="I838" s="2"/>
    </row>
    <row r="839" spans="1:9" x14ac:dyDescent="0.25">
      <c r="A839" s="28"/>
      <c r="B839" s="28"/>
      <c r="C839" s="56" t="s">
        <v>90</v>
      </c>
      <c r="D839" s="52">
        <v>0</v>
      </c>
      <c r="E839" s="52">
        <v>-231519.64</v>
      </c>
      <c r="F839" s="52">
        <v>-105111.28</v>
      </c>
      <c r="G839" s="52">
        <f t="shared" si="421"/>
        <v>126408.36000000002</v>
      </c>
      <c r="I839" s="2"/>
    </row>
    <row r="840" spans="1:9" x14ac:dyDescent="0.25">
      <c r="A840" s="28"/>
      <c r="B840" s="28"/>
      <c r="C840" s="51" t="s">
        <v>85</v>
      </c>
      <c r="D840" s="55">
        <v>-1083</v>
      </c>
      <c r="E840" s="55">
        <f>D840</f>
        <v>-1083</v>
      </c>
      <c r="F840" s="55">
        <v>-1082.6300000000001</v>
      </c>
      <c r="G840" s="55">
        <f t="shared" ref="G840" si="422">F840-E840</f>
        <v>0.36999999999989086</v>
      </c>
      <c r="I840" s="2"/>
    </row>
    <row r="841" spans="1:9" x14ac:dyDescent="0.25">
      <c r="A841" s="28"/>
      <c r="B841" s="51" t="s">
        <v>88</v>
      </c>
      <c r="C841" s="59"/>
      <c r="D841" s="52">
        <f>D842</f>
        <v>0</v>
      </c>
      <c r="E841" s="52">
        <f>E842</f>
        <v>-1077.96</v>
      </c>
      <c r="F841" s="52">
        <f>F842</f>
        <v>0</v>
      </c>
      <c r="G841" s="52">
        <f t="shared" si="421"/>
        <v>1077.96</v>
      </c>
      <c r="I841" s="2"/>
    </row>
    <row r="842" spans="1:9" x14ac:dyDescent="0.25">
      <c r="A842" s="28"/>
      <c r="B842" s="51"/>
      <c r="C842" s="56" t="s">
        <v>90</v>
      </c>
      <c r="D842" s="52">
        <f>D844</f>
        <v>0</v>
      </c>
      <c r="E842" s="52">
        <f>E844</f>
        <v>-1077.96</v>
      </c>
      <c r="F842" s="52">
        <f>F844</f>
        <v>0</v>
      </c>
      <c r="G842" s="52">
        <f t="shared" si="421"/>
        <v>1077.96</v>
      </c>
      <c r="I842" s="2"/>
    </row>
    <row r="843" spans="1:9" x14ac:dyDescent="0.25">
      <c r="A843" s="28"/>
      <c r="B843" s="51"/>
      <c r="C843" s="59" t="s">
        <v>79</v>
      </c>
      <c r="D843" s="52">
        <f>D844</f>
        <v>0</v>
      </c>
      <c r="E843" s="52">
        <f>E844</f>
        <v>-1077.96</v>
      </c>
      <c r="F843" s="52">
        <f>F844</f>
        <v>0</v>
      </c>
      <c r="G843" s="52">
        <f t="shared" si="421"/>
        <v>1077.96</v>
      </c>
      <c r="I843" s="2"/>
    </row>
    <row r="844" spans="1:9" x14ac:dyDescent="0.25">
      <c r="A844" s="28"/>
      <c r="B844" s="51"/>
      <c r="C844" s="56" t="s">
        <v>90</v>
      </c>
      <c r="D844" s="52">
        <v>0</v>
      </c>
      <c r="E844" s="52">
        <v>-1077.96</v>
      </c>
      <c r="F844" s="52">
        <v>0</v>
      </c>
      <c r="G844" s="52">
        <f t="shared" si="421"/>
        <v>1077.96</v>
      </c>
      <c r="I844" s="2"/>
    </row>
    <row r="845" spans="1:9" s="14" customFormat="1" ht="15.75" x14ac:dyDescent="0.25">
      <c r="A845" s="39" t="s">
        <v>137</v>
      </c>
      <c r="B845" s="51"/>
      <c r="C845" s="59"/>
      <c r="D845" s="54">
        <f>SUM(D846:D850)</f>
        <v>-6670716</v>
      </c>
      <c r="E845" s="54">
        <f>SUM(E846:E850)</f>
        <v>-7124416.8200000003</v>
      </c>
      <c r="F845" s="54">
        <f>SUM(F846:F850)</f>
        <v>-6445387.3700000001</v>
      </c>
      <c r="G845" s="54">
        <f t="shared" si="421"/>
        <v>679029.45000000019</v>
      </c>
      <c r="H845" s="9"/>
      <c r="I845" s="2"/>
    </row>
    <row r="846" spans="1:9" x14ac:dyDescent="0.25">
      <c r="A846" s="28"/>
      <c r="B846" s="28" t="s">
        <v>79</v>
      </c>
      <c r="C846" s="56"/>
      <c r="D846" s="52">
        <f>D856+D873</f>
        <v>-6630003</v>
      </c>
      <c r="E846" s="52">
        <f>E856+E873</f>
        <v>-6677135.2000000002</v>
      </c>
      <c r="F846" s="52">
        <f>F856+F873</f>
        <v>-6436156.9299999997</v>
      </c>
      <c r="G846" s="52">
        <f t="shared" si="421"/>
        <v>240978.27000000048</v>
      </c>
      <c r="I846" s="2"/>
    </row>
    <row r="847" spans="1:9" x14ac:dyDescent="0.25">
      <c r="A847" s="28"/>
      <c r="B847" s="56" t="s">
        <v>80</v>
      </c>
      <c r="C847" s="56"/>
      <c r="D847" s="52">
        <f>D861</f>
        <v>0</v>
      </c>
      <c r="E847" s="52">
        <f>E861</f>
        <v>0</v>
      </c>
      <c r="F847" s="52">
        <f>F861</f>
        <v>-13.28</v>
      </c>
      <c r="G847" s="52">
        <f t="shared" si="421"/>
        <v>-13.28</v>
      </c>
      <c r="I847" s="2"/>
    </row>
    <row r="848" spans="1:9" x14ac:dyDescent="0.25">
      <c r="A848" s="28"/>
      <c r="B848" s="56" t="s">
        <v>81</v>
      </c>
      <c r="C848" s="56"/>
      <c r="D848" s="52">
        <f>D863</f>
        <v>-40313</v>
      </c>
      <c r="E848" s="52">
        <f t="shared" ref="E848:F848" si="423">E863</f>
        <v>-443088.74</v>
      </c>
      <c r="F848" s="52">
        <f t="shared" si="423"/>
        <v>-4553.87</v>
      </c>
      <c r="G848" s="52">
        <f t="shared" si="421"/>
        <v>438534.87</v>
      </c>
      <c r="I848" s="2"/>
    </row>
    <row r="849" spans="1:9" x14ac:dyDescent="0.25">
      <c r="A849" s="28"/>
      <c r="B849" s="56" t="s">
        <v>82</v>
      </c>
      <c r="C849" s="56"/>
      <c r="D849" s="52">
        <f>D867</f>
        <v>0</v>
      </c>
      <c r="E849" s="52">
        <f>E867</f>
        <v>-3792.88</v>
      </c>
      <c r="F849" s="52">
        <f>F867</f>
        <v>-3767.67</v>
      </c>
      <c r="G849" s="52">
        <f t="shared" si="421"/>
        <v>25.210000000000036</v>
      </c>
      <c r="I849" s="2"/>
    </row>
    <row r="850" spans="1:9" x14ac:dyDescent="0.25">
      <c r="A850" s="28"/>
      <c r="B850" s="28" t="s">
        <v>85</v>
      </c>
      <c r="C850" s="56"/>
      <c r="D850" s="52">
        <f>D870</f>
        <v>-400</v>
      </c>
      <c r="E850" s="52">
        <f>E870</f>
        <v>-400</v>
      </c>
      <c r="F850" s="52">
        <f>F870</f>
        <v>-895.62</v>
      </c>
      <c r="G850" s="52">
        <f t="shared" si="421"/>
        <v>-495.62</v>
      </c>
      <c r="I850" s="2"/>
    </row>
    <row r="851" spans="1:9" x14ac:dyDescent="0.25">
      <c r="A851" s="51"/>
      <c r="B851" s="51" t="s">
        <v>115</v>
      </c>
      <c r="C851" s="59"/>
      <c r="D851" s="54">
        <f>SUM(D852:D855)</f>
        <v>-6670716</v>
      </c>
      <c r="E851" s="54">
        <f>SUM(E852:E855)</f>
        <v>-7123288.8600000003</v>
      </c>
      <c r="F851" s="54">
        <f>SUM(F852:F855)</f>
        <v>-6445387.3699999992</v>
      </c>
      <c r="G851" s="54">
        <f t="shared" si="421"/>
        <v>677901.49000000115</v>
      </c>
      <c r="I851" s="2"/>
    </row>
    <row r="852" spans="1:9" x14ac:dyDescent="0.25">
      <c r="A852" s="28"/>
      <c r="B852" s="28"/>
      <c r="C852" s="56" t="s">
        <v>89</v>
      </c>
      <c r="D852" s="52">
        <f>D857+D864</f>
        <v>-216594</v>
      </c>
      <c r="E852" s="52">
        <f>E857+E864+E868</f>
        <v>-325329.33</v>
      </c>
      <c r="F852" s="52">
        <f>F857+F864+F868</f>
        <v>-178936.49</v>
      </c>
      <c r="G852" s="52">
        <f t="shared" ref="G852:G855" si="424">F852-E852</f>
        <v>146392.84000000003</v>
      </c>
      <c r="I852" s="2"/>
    </row>
    <row r="853" spans="1:9" x14ac:dyDescent="0.25">
      <c r="A853" s="28"/>
      <c r="B853" s="28"/>
      <c r="C853" s="56" t="s">
        <v>90</v>
      </c>
      <c r="D853" s="52">
        <f>D858</f>
        <v>-6413722</v>
      </c>
      <c r="E853" s="52">
        <f>E858+E865+E869</f>
        <v>-6607566.9000000004</v>
      </c>
      <c r="F853" s="52">
        <f>F858+F865+F869</f>
        <v>-6231463.2599999998</v>
      </c>
      <c r="G853" s="52">
        <f t="shared" si="424"/>
        <v>376103.6400000006</v>
      </c>
      <c r="I853" s="2"/>
    </row>
    <row r="854" spans="1:9" x14ac:dyDescent="0.25">
      <c r="A854" s="28"/>
      <c r="B854" s="28"/>
      <c r="C854" s="56" t="s">
        <v>100</v>
      </c>
      <c r="D854" s="52">
        <f>D859+D866</f>
        <v>-40000</v>
      </c>
      <c r="E854" s="52">
        <f>E859+E866</f>
        <v>-188444.63</v>
      </c>
      <c r="F854" s="52">
        <f>F859+F866</f>
        <v>-32530.559999999998</v>
      </c>
      <c r="G854" s="52">
        <f t="shared" ref="G854" si="425">F854-E854</f>
        <v>155914.07</v>
      </c>
      <c r="I854" s="2"/>
    </row>
    <row r="855" spans="1:9" x14ac:dyDescent="0.25">
      <c r="A855" s="28"/>
      <c r="B855" s="28"/>
      <c r="C855" s="56" t="s">
        <v>91</v>
      </c>
      <c r="D855" s="52">
        <f>D870</f>
        <v>-400</v>
      </c>
      <c r="E855" s="52">
        <f>D870+E860</f>
        <v>-1948</v>
      </c>
      <c r="F855" s="52">
        <f>F870+F860+F862</f>
        <v>-2457.0600000000004</v>
      </c>
      <c r="G855" s="52">
        <f t="shared" si="424"/>
        <v>-509.0600000000004</v>
      </c>
      <c r="I855" s="2"/>
    </row>
    <row r="856" spans="1:9" x14ac:dyDescent="0.25">
      <c r="A856" s="51"/>
      <c r="B856" s="51"/>
      <c r="C856" s="59" t="s">
        <v>79</v>
      </c>
      <c r="D856" s="54">
        <f>SUM(D857:D860)</f>
        <v>-6630003</v>
      </c>
      <c r="E856" s="54">
        <f>SUM(E857:E860)</f>
        <v>-6676007.2400000002</v>
      </c>
      <c r="F856" s="54">
        <f>SUM(F857:F860)</f>
        <v>-6436156.9299999997</v>
      </c>
      <c r="G856" s="54">
        <f>F856-E856</f>
        <v>239850.31000000052</v>
      </c>
      <c r="I856" s="2"/>
    </row>
    <row r="857" spans="1:9" x14ac:dyDescent="0.25">
      <c r="A857" s="28"/>
      <c r="B857" s="28"/>
      <c r="C857" s="56" t="s">
        <v>89</v>
      </c>
      <c r="D857" s="52">
        <v>-176281</v>
      </c>
      <c r="E857" s="52">
        <f t="shared" ref="E857" si="426">D857</f>
        <v>-176281</v>
      </c>
      <c r="F857" s="52">
        <v>-176069.34</v>
      </c>
      <c r="G857" s="52">
        <f t="shared" ref="G857:G858" si="427">F857-E857</f>
        <v>211.66000000000349</v>
      </c>
      <c r="I857" s="2"/>
    </row>
    <row r="858" spans="1:9" x14ac:dyDescent="0.25">
      <c r="A858" s="28"/>
      <c r="B858" s="28"/>
      <c r="C858" s="56" t="s">
        <v>90</v>
      </c>
      <c r="D858" s="52">
        <v>-6413722</v>
      </c>
      <c r="E858" s="52">
        <f>D858-44456.24</f>
        <v>-6458178.2400000002</v>
      </c>
      <c r="F858" s="52">
        <v>-6227096.9199999999</v>
      </c>
      <c r="G858" s="52">
        <f t="shared" si="427"/>
        <v>231081.3200000003</v>
      </c>
      <c r="I858" s="2"/>
    </row>
    <row r="859" spans="1:9" x14ac:dyDescent="0.25">
      <c r="A859" s="28"/>
      <c r="B859" s="28"/>
      <c r="C859" s="56" t="s">
        <v>100</v>
      </c>
      <c r="D859" s="52">
        <v>-40000</v>
      </c>
      <c r="E859" s="52">
        <f t="shared" ref="E859" si="428">D859</f>
        <v>-40000</v>
      </c>
      <c r="F859" s="52">
        <v>-31442.51</v>
      </c>
      <c r="G859" s="52">
        <f t="shared" ref="G859:G862" si="429">F859-E859</f>
        <v>8557.4900000000016</v>
      </c>
      <c r="I859" s="2"/>
    </row>
    <row r="860" spans="1:9" x14ac:dyDescent="0.25">
      <c r="A860" s="28"/>
      <c r="B860" s="28"/>
      <c r="C860" s="56" t="s">
        <v>95</v>
      </c>
      <c r="D860" s="52">
        <v>0</v>
      </c>
      <c r="E860" s="52">
        <v>-1548</v>
      </c>
      <c r="F860" s="52">
        <v>-1548.16</v>
      </c>
      <c r="G860" s="52">
        <f t="shared" si="429"/>
        <v>-0.16000000000008185</v>
      </c>
      <c r="I860" s="2"/>
    </row>
    <row r="861" spans="1:9" x14ac:dyDescent="0.25">
      <c r="A861" s="28"/>
      <c r="B861" s="28"/>
      <c r="C861" s="59" t="s">
        <v>80</v>
      </c>
      <c r="D861" s="52">
        <f>D862</f>
        <v>0</v>
      </c>
      <c r="E861" s="52">
        <f>E862</f>
        <v>0</v>
      </c>
      <c r="F861" s="52">
        <f>F862</f>
        <v>-13.28</v>
      </c>
      <c r="G861" s="52">
        <f t="shared" si="429"/>
        <v>-13.28</v>
      </c>
      <c r="I861" s="2"/>
    </row>
    <row r="862" spans="1:9" x14ac:dyDescent="0.25">
      <c r="A862" s="28"/>
      <c r="B862" s="28"/>
      <c r="C862" s="56" t="s">
        <v>95</v>
      </c>
      <c r="D862" s="52">
        <v>0</v>
      </c>
      <c r="E862" s="52">
        <v>0</v>
      </c>
      <c r="F862" s="52">
        <v>-13.28</v>
      </c>
      <c r="G862" s="52">
        <f t="shared" si="429"/>
        <v>-13.28</v>
      </c>
      <c r="I862" s="2"/>
    </row>
    <row r="863" spans="1:9" s="14" customFormat="1" x14ac:dyDescent="0.25">
      <c r="A863" s="51"/>
      <c r="B863" s="51"/>
      <c r="C863" s="59" t="s">
        <v>81</v>
      </c>
      <c r="D863" s="54">
        <f>SUM(D864:D866)</f>
        <v>-40313</v>
      </c>
      <c r="E863" s="54">
        <f>SUM(E864:E866)</f>
        <v>-443088.74</v>
      </c>
      <c r="F863" s="54">
        <f>SUM(F864:F866)</f>
        <v>-4553.87</v>
      </c>
      <c r="G863" s="54">
        <f>F863-E863</f>
        <v>438534.87</v>
      </c>
      <c r="H863" s="9"/>
      <c r="I863" s="2"/>
    </row>
    <row r="864" spans="1:9" x14ac:dyDescent="0.25">
      <c r="A864" s="28"/>
      <c r="B864" s="28"/>
      <c r="C864" s="56" t="s">
        <v>89</v>
      </c>
      <c r="D864" s="52">
        <v>-40313</v>
      </c>
      <c r="E864" s="52">
        <f>D864-107329.82</f>
        <v>-147642.82</v>
      </c>
      <c r="F864" s="52">
        <v>-1464.53</v>
      </c>
      <c r="G864" s="52">
        <f>F864-E864</f>
        <v>146178.29</v>
      </c>
      <c r="I864" s="2"/>
    </row>
    <row r="865" spans="1:9" x14ac:dyDescent="0.25">
      <c r="A865" s="28"/>
      <c r="B865" s="28"/>
      <c r="C865" s="56" t="s">
        <v>90</v>
      </c>
      <c r="D865" s="52">
        <v>0</v>
      </c>
      <c r="E865" s="52">
        <v>-147001.29</v>
      </c>
      <c r="F865" s="52">
        <v>-2001.29</v>
      </c>
      <c r="G865" s="52">
        <f t="shared" ref="G865:G866" si="430">F865-E865</f>
        <v>145000</v>
      </c>
      <c r="I865" s="2"/>
    </row>
    <row r="866" spans="1:9" x14ac:dyDescent="0.25">
      <c r="A866" s="28"/>
      <c r="B866" s="28"/>
      <c r="C866" s="56" t="s">
        <v>100</v>
      </c>
      <c r="D866" s="52">
        <v>0</v>
      </c>
      <c r="E866" s="52">
        <v>-148444.63</v>
      </c>
      <c r="F866" s="52">
        <v>-1088.05</v>
      </c>
      <c r="G866" s="52">
        <f t="shared" si="430"/>
        <v>147356.58000000002</v>
      </c>
      <c r="I866" s="2"/>
    </row>
    <row r="867" spans="1:9" x14ac:dyDescent="0.25">
      <c r="A867" s="28"/>
      <c r="B867" s="28"/>
      <c r="C867" s="59" t="s">
        <v>82</v>
      </c>
      <c r="D867" s="52">
        <f>SUM(D868:D869)</f>
        <v>0</v>
      </c>
      <c r="E867" s="52">
        <f>SUM(E868:E869)</f>
        <v>-3792.88</v>
      </c>
      <c r="F867" s="52">
        <f>SUM(F868:F869)</f>
        <v>-3767.67</v>
      </c>
      <c r="G867" s="52">
        <f t="shared" ref="G867:G874" si="431">F867-E867</f>
        <v>25.210000000000036</v>
      </c>
      <c r="I867" s="2"/>
    </row>
    <row r="868" spans="1:9" x14ac:dyDescent="0.25">
      <c r="A868" s="28"/>
      <c r="B868" s="28"/>
      <c r="C868" s="28" t="s">
        <v>89</v>
      </c>
      <c r="D868" s="53">
        <v>0</v>
      </c>
      <c r="E868" s="53">
        <v>-1405.51</v>
      </c>
      <c r="F868" s="53">
        <v>-1402.62</v>
      </c>
      <c r="G868" s="53">
        <f t="shared" si="431"/>
        <v>2.8900000000001</v>
      </c>
      <c r="I868" s="2"/>
    </row>
    <row r="869" spans="1:9" x14ac:dyDescent="0.25">
      <c r="A869" s="28"/>
      <c r="B869" s="28"/>
      <c r="C869" s="28" t="s">
        <v>90</v>
      </c>
      <c r="D869" s="53">
        <v>0</v>
      </c>
      <c r="E869" s="53">
        <v>-2387.37</v>
      </c>
      <c r="F869" s="53">
        <v>-2365.0500000000002</v>
      </c>
      <c r="G869" s="53">
        <f t="shared" si="431"/>
        <v>22.319999999999709</v>
      </c>
      <c r="I869" s="2"/>
    </row>
    <row r="870" spans="1:9" x14ac:dyDescent="0.25">
      <c r="A870" s="28"/>
      <c r="B870" s="28"/>
      <c r="C870" s="51" t="s">
        <v>85</v>
      </c>
      <c r="D870" s="53">
        <v>-400</v>
      </c>
      <c r="E870" s="53">
        <f>D870</f>
        <v>-400</v>
      </c>
      <c r="F870" s="53">
        <v>-895.62</v>
      </c>
      <c r="G870" s="53">
        <f t="shared" si="431"/>
        <v>-495.62</v>
      </c>
      <c r="I870" s="2"/>
    </row>
    <row r="871" spans="1:9" x14ac:dyDescent="0.25">
      <c r="A871" s="28"/>
      <c r="B871" s="51" t="s">
        <v>88</v>
      </c>
      <c r="C871" s="59"/>
      <c r="D871" s="52">
        <f>D872</f>
        <v>0</v>
      </c>
      <c r="E871" s="52">
        <f>E872</f>
        <v>-1127.96</v>
      </c>
      <c r="F871" s="52">
        <f>F872</f>
        <v>0</v>
      </c>
      <c r="G871" s="52">
        <f t="shared" si="431"/>
        <v>1127.96</v>
      </c>
      <c r="I871" s="2"/>
    </row>
    <row r="872" spans="1:9" x14ac:dyDescent="0.25">
      <c r="A872" s="28"/>
      <c r="B872" s="51"/>
      <c r="C872" s="28" t="s">
        <v>90</v>
      </c>
      <c r="D872" s="53">
        <f>D874</f>
        <v>0</v>
      </c>
      <c r="E872" s="53">
        <f>E874</f>
        <v>-1127.96</v>
      </c>
      <c r="F872" s="53">
        <f>F874</f>
        <v>0</v>
      </c>
      <c r="G872" s="53">
        <f t="shared" si="431"/>
        <v>1127.96</v>
      </c>
      <c r="I872" s="2"/>
    </row>
    <row r="873" spans="1:9" x14ac:dyDescent="0.25">
      <c r="A873" s="28"/>
      <c r="B873" s="51"/>
      <c r="C873" s="59" t="s">
        <v>79</v>
      </c>
      <c r="D873" s="52">
        <f>D874</f>
        <v>0</v>
      </c>
      <c r="E873" s="52">
        <f>E874</f>
        <v>-1127.96</v>
      </c>
      <c r="F873" s="52">
        <f>F874</f>
        <v>0</v>
      </c>
      <c r="G873" s="52">
        <f t="shared" si="431"/>
        <v>1127.96</v>
      </c>
      <c r="I873" s="2"/>
    </row>
    <row r="874" spans="1:9" x14ac:dyDescent="0.25">
      <c r="A874" s="28"/>
      <c r="B874" s="51"/>
      <c r="C874" s="56" t="s">
        <v>90</v>
      </c>
      <c r="D874" s="52">
        <v>0</v>
      </c>
      <c r="E874" s="52">
        <v>-1127.96</v>
      </c>
      <c r="F874" s="52">
        <v>0</v>
      </c>
      <c r="G874" s="52">
        <f t="shared" si="431"/>
        <v>1127.96</v>
      </c>
      <c r="I874" s="2"/>
    </row>
    <row r="875" spans="1:9" s="14" customFormat="1" ht="15.75" x14ac:dyDescent="0.25">
      <c r="A875" s="41" t="s">
        <v>138</v>
      </c>
      <c r="B875" s="51"/>
      <c r="C875" s="59"/>
      <c r="D875" s="54">
        <f>SUM(D876:D881)</f>
        <v>-2410921062</v>
      </c>
      <c r="E875" s="54">
        <f>SUM(E876:E881)</f>
        <v>-2438220013.1400003</v>
      </c>
      <c r="F875" s="54">
        <f>SUM(F876:F881)</f>
        <v>-2432301583.6199999</v>
      </c>
      <c r="G875" s="54">
        <f t="shared" ref="G875:G881" si="432">F875-E875</f>
        <v>5918429.5200004578</v>
      </c>
      <c r="H875" s="9"/>
      <c r="I875" s="2"/>
    </row>
    <row r="876" spans="1:9" ht="15.75" x14ac:dyDescent="0.25">
      <c r="A876" s="34"/>
      <c r="B876" s="28" t="s">
        <v>79</v>
      </c>
      <c r="C876" s="56"/>
      <c r="D876" s="52">
        <f>D883+D922+D938+D971+D1025+D1074+D1115+D1152+D1202</f>
        <v>-45261611</v>
      </c>
      <c r="E876" s="52">
        <f>E883+E922+E938+E971+E1025+E1074+E1115+E1152+E1202</f>
        <v>-61928480.019999996</v>
      </c>
      <c r="F876" s="52">
        <f>F883+F922+F938+F971+F1025+F1074+F1115+F1152+F1202</f>
        <v>-53972157.439999998</v>
      </c>
      <c r="G876" s="52">
        <f t="shared" si="432"/>
        <v>7956322.5799999982</v>
      </c>
      <c r="I876" s="2"/>
    </row>
    <row r="877" spans="1:9" ht="15.75" x14ac:dyDescent="0.25">
      <c r="A877" s="34"/>
      <c r="B877" s="28" t="s">
        <v>80</v>
      </c>
      <c r="C877" s="56"/>
      <c r="D877" s="52">
        <f>D939+D1075+D1153</f>
        <v>-315568986</v>
      </c>
      <c r="E877" s="52">
        <f>E939+E1075+E1153</f>
        <v>-315568986</v>
      </c>
      <c r="F877" s="52">
        <f>F884+F939+F972+F1026+F1075+F1116+F1153+F1203</f>
        <v>-310861107.13</v>
      </c>
      <c r="G877" s="52">
        <f t="shared" ref="G877:G880" si="433">F877-E877</f>
        <v>4707878.8700000048</v>
      </c>
      <c r="I877" s="2"/>
    </row>
    <row r="878" spans="1:9" ht="15.75" x14ac:dyDescent="0.25">
      <c r="A878" s="34"/>
      <c r="B878" s="28" t="s">
        <v>81</v>
      </c>
      <c r="C878" s="56"/>
      <c r="D878" s="52">
        <f>D885+D923+D973+D1076+D1117+D1154</f>
        <v>-29660654</v>
      </c>
      <c r="E878" s="52">
        <f>E885+E923+E973+E1076+E1117+E1154+E1027+E1204</f>
        <v>-29888029.879999999</v>
      </c>
      <c r="F878" s="52">
        <f>F885+F923+F973+F1076+F1117+F1154+F1027+F1204</f>
        <v>-27536735.889999997</v>
      </c>
      <c r="G878" s="52">
        <f t="shared" si="433"/>
        <v>2351293.9900000021</v>
      </c>
      <c r="I878" s="2"/>
    </row>
    <row r="879" spans="1:9" x14ac:dyDescent="0.25">
      <c r="A879" s="28"/>
      <c r="B879" s="28" t="s">
        <v>82</v>
      </c>
      <c r="C879" s="56"/>
      <c r="D879" s="52">
        <f>D886+D974+D1028+D1077+D1118+D1155+D1205</f>
        <v>-9722378</v>
      </c>
      <c r="E879" s="52">
        <f>E886+E974+E1028+E1077+E1118+E1155+E1205+E940</f>
        <v>-20137998.23</v>
      </c>
      <c r="F879" s="52">
        <f>F886+F974+F1028+F1077+F1118+F1155+F1205+F940</f>
        <v>-10975607.720000001</v>
      </c>
      <c r="G879" s="52">
        <f t="shared" si="433"/>
        <v>9162390.5099999998</v>
      </c>
      <c r="I879" s="2"/>
    </row>
    <row r="880" spans="1:9" x14ac:dyDescent="0.25">
      <c r="A880" s="28"/>
      <c r="B880" s="56" t="s">
        <v>83</v>
      </c>
      <c r="C880" s="56"/>
      <c r="D880" s="52">
        <f>D1078</f>
        <v>-2007878960</v>
      </c>
      <c r="E880" s="52">
        <f t="shared" ref="E880:F880" si="434">E1078</f>
        <v>-2007878960</v>
      </c>
      <c r="F880" s="52">
        <f t="shared" si="434"/>
        <v>-2025375926.99</v>
      </c>
      <c r="G880" s="52">
        <f t="shared" si="433"/>
        <v>-17496966.99000001</v>
      </c>
      <c r="I880" s="2"/>
    </row>
    <row r="881" spans="1:9" x14ac:dyDescent="0.25">
      <c r="A881" s="28"/>
      <c r="B881" s="28" t="s">
        <v>85</v>
      </c>
      <c r="C881" s="56"/>
      <c r="D881" s="52">
        <f>D887+D941+D975+D1029+D1079+D1119+D1156+D1206</f>
        <v>-2828473</v>
      </c>
      <c r="E881" s="52">
        <f>E887+E941+E975+E1029+E1079+E1119+E1156+E1206</f>
        <v>-2817559.01</v>
      </c>
      <c r="F881" s="52">
        <f>F887+F941+F975+F1029+F1079+F1119+F1156+F1206</f>
        <v>-3580048.45</v>
      </c>
      <c r="G881" s="52">
        <f t="shared" si="432"/>
        <v>-762489.44000000041</v>
      </c>
      <c r="I881" s="2"/>
    </row>
    <row r="882" spans="1:9" s="14" customFormat="1" ht="15.75" x14ac:dyDescent="0.25">
      <c r="A882" s="39" t="s">
        <v>139</v>
      </c>
      <c r="B882" s="51"/>
      <c r="C882" s="59"/>
      <c r="D882" s="54">
        <f>SUM(D883:D887)</f>
        <v>-2787435</v>
      </c>
      <c r="E882" s="54">
        <f>SUM(E883:E887)</f>
        <v>-3526126.95</v>
      </c>
      <c r="F882" s="54">
        <f>SUM(F883:F887)</f>
        <v>-2841640.7099999995</v>
      </c>
      <c r="G882" s="54">
        <f t="shared" ref="G882:G888" si="435">F882-E882</f>
        <v>684486.24000000069</v>
      </c>
      <c r="H882" s="9"/>
      <c r="I882" s="2"/>
    </row>
    <row r="883" spans="1:9" x14ac:dyDescent="0.25">
      <c r="A883" s="28"/>
      <c r="B883" s="28" t="s">
        <v>79</v>
      </c>
      <c r="C883" s="56"/>
      <c r="D883" s="52">
        <f>D893+D909</f>
        <v>-2484216</v>
      </c>
      <c r="E883" s="52">
        <f t="shared" ref="E883:F883" si="436">E893+E909</f>
        <v>-2754880.69</v>
      </c>
      <c r="F883" s="52">
        <f t="shared" si="436"/>
        <v>-2060560.78</v>
      </c>
      <c r="G883" s="52">
        <f t="shared" si="435"/>
        <v>694319.90999999992</v>
      </c>
      <c r="I883" s="2"/>
    </row>
    <row r="884" spans="1:9" x14ac:dyDescent="0.25">
      <c r="A884" s="28"/>
      <c r="B884" s="28" t="s">
        <v>80</v>
      </c>
      <c r="C884" s="56"/>
      <c r="D884" s="52">
        <f>D897+D912</f>
        <v>0</v>
      </c>
      <c r="E884" s="52">
        <f>E897+E912</f>
        <v>0</v>
      </c>
      <c r="F884" s="52">
        <f>F897+F912</f>
        <v>-1216.69</v>
      </c>
      <c r="G884" s="52">
        <f t="shared" si="435"/>
        <v>-1216.69</v>
      </c>
      <c r="I884" s="2"/>
    </row>
    <row r="885" spans="1:9" x14ac:dyDescent="0.25">
      <c r="A885" s="28"/>
      <c r="B885" s="28" t="s">
        <v>81</v>
      </c>
      <c r="C885" s="56"/>
      <c r="D885" s="52">
        <f>D899+D914</f>
        <v>-236520</v>
      </c>
      <c r="E885" s="52">
        <f t="shared" ref="E885:F885" si="437">E899+E914</f>
        <v>-636968.87</v>
      </c>
      <c r="F885" s="52">
        <f t="shared" si="437"/>
        <v>-627981.16999999993</v>
      </c>
      <c r="G885" s="52">
        <f t="shared" si="435"/>
        <v>8987.7000000000698</v>
      </c>
      <c r="I885" s="2"/>
    </row>
    <row r="886" spans="1:9" x14ac:dyDescent="0.25">
      <c r="A886" s="28"/>
      <c r="B886" s="28" t="s">
        <v>82</v>
      </c>
      <c r="C886" s="56"/>
      <c r="D886" s="52">
        <f>D917+D903</f>
        <v>-5146</v>
      </c>
      <c r="E886" s="52">
        <f>E917+E903</f>
        <v>-72724.39</v>
      </c>
      <c r="F886" s="52">
        <f>F917+F903</f>
        <v>-70861.87999999999</v>
      </c>
      <c r="G886" s="52">
        <f t="shared" si="435"/>
        <v>1862.5100000000093</v>
      </c>
      <c r="I886" s="2"/>
    </row>
    <row r="887" spans="1:9" x14ac:dyDescent="0.25">
      <c r="A887" s="28"/>
      <c r="B887" s="28" t="s">
        <v>85</v>
      </c>
      <c r="C887" s="56"/>
      <c r="D887" s="52">
        <f>D920</f>
        <v>-61553</v>
      </c>
      <c r="E887" s="52">
        <f t="shared" ref="E887:F887" si="438">E920</f>
        <v>-61553</v>
      </c>
      <c r="F887" s="52">
        <f t="shared" si="438"/>
        <v>-81020.19</v>
      </c>
      <c r="G887" s="52">
        <f t="shared" si="435"/>
        <v>-19467.190000000002</v>
      </c>
      <c r="I887" s="2"/>
    </row>
    <row r="888" spans="1:9" x14ac:dyDescent="0.25">
      <c r="A888" s="51"/>
      <c r="B888" s="51" t="s">
        <v>99</v>
      </c>
      <c r="C888" s="59"/>
      <c r="D888" s="54">
        <f>SUM(D889:D892)</f>
        <v>-2616696</v>
      </c>
      <c r="E888" s="54">
        <f>SUM(E889:E892)</f>
        <v>-3230316.6400000006</v>
      </c>
      <c r="F888" s="54">
        <f>SUM(F889:F892)</f>
        <v>-2588480.58</v>
      </c>
      <c r="G888" s="54">
        <f t="shared" si="435"/>
        <v>641836.06000000052</v>
      </c>
      <c r="I888" s="2"/>
    </row>
    <row r="889" spans="1:9" x14ac:dyDescent="0.25">
      <c r="A889" s="28"/>
      <c r="B889" s="28"/>
      <c r="C889" s="56" t="s">
        <v>89</v>
      </c>
      <c r="D889" s="52">
        <f>D894+D900+D904</f>
        <v>-1967680</v>
      </c>
      <c r="E889" s="52">
        <f>E894+E900+E904</f>
        <v>-2240017.1900000004</v>
      </c>
      <c r="F889" s="52">
        <f>F894+F900+F904</f>
        <v>-1906451.8599999999</v>
      </c>
      <c r="G889" s="52">
        <f t="shared" ref="G889:G892" si="439">F889-E889</f>
        <v>333565.33000000054</v>
      </c>
      <c r="I889" s="2"/>
    </row>
    <row r="890" spans="1:9" x14ac:dyDescent="0.25">
      <c r="A890" s="28"/>
      <c r="B890" s="28"/>
      <c r="C890" s="56" t="s">
        <v>90</v>
      </c>
      <c r="D890" s="52">
        <f>D895+D901</f>
        <v>-544929</v>
      </c>
      <c r="E890" s="52">
        <f t="shared" ref="E890:F890" si="440">E895+E901</f>
        <v>-389680.9</v>
      </c>
      <c r="F890" s="52">
        <f t="shared" si="440"/>
        <v>-293177.84999999998</v>
      </c>
      <c r="G890" s="52">
        <f t="shared" si="439"/>
        <v>96503.050000000047</v>
      </c>
      <c r="I890" s="2"/>
    </row>
    <row r="891" spans="1:9" x14ac:dyDescent="0.25">
      <c r="A891" s="28"/>
      <c r="B891" s="28"/>
      <c r="C891" s="56" t="s">
        <v>100</v>
      </c>
      <c r="D891" s="52">
        <f>D896+D902</f>
        <v>-104087</v>
      </c>
      <c r="E891" s="52">
        <f>E896+E902</f>
        <v>-600618.55000000005</v>
      </c>
      <c r="F891" s="52">
        <f>F896+F902</f>
        <v>-387635.38</v>
      </c>
      <c r="G891" s="52">
        <f t="shared" si="439"/>
        <v>212983.17000000004</v>
      </c>
      <c r="I891" s="2"/>
    </row>
    <row r="892" spans="1:9" x14ac:dyDescent="0.25">
      <c r="A892" s="28"/>
      <c r="B892" s="28"/>
      <c r="C892" s="56" t="s">
        <v>95</v>
      </c>
      <c r="D892" s="52">
        <f>D898</f>
        <v>0</v>
      </c>
      <c r="E892" s="52">
        <f>E898</f>
        <v>0</v>
      </c>
      <c r="F892" s="52">
        <f>F898</f>
        <v>-1215.49</v>
      </c>
      <c r="G892" s="52">
        <f t="shared" si="439"/>
        <v>-1215.49</v>
      </c>
      <c r="I892" s="2"/>
    </row>
    <row r="893" spans="1:9" x14ac:dyDescent="0.25">
      <c r="A893" s="51"/>
      <c r="B893" s="51"/>
      <c r="C893" s="51" t="s">
        <v>79</v>
      </c>
      <c r="D893" s="55">
        <f>SUM(D894:D896)</f>
        <v>-2400761</v>
      </c>
      <c r="E893" s="55">
        <f t="shared" ref="E893:F893" si="441">SUM(E894:E896)</f>
        <v>-2642176.83</v>
      </c>
      <c r="F893" s="55">
        <f t="shared" si="441"/>
        <v>-2003815.92</v>
      </c>
      <c r="G893" s="55">
        <f>F893-E893</f>
        <v>638360.91000000015</v>
      </c>
      <c r="I893" s="2"/>
    </row>
    <row r="894" spans="1:9" x14ac:dyDescent="0.25">
      <c r="A894" s="28"/>
      <c r="B894" s="28"/>
      <c r="C894" s="28" t="s">
        <v>89</v>
      </c>
      <c r="D894" s="53">
        <v>-1906970</v>
      </c>
      <c r="E894" s="53">
        <f>D894-127125.37</f>
        <v>-2034095.37</v>
      </c>
      <c r="F894" s="53">
        <v>-1703641.43</v>
      </c>
      <c r="G894" s="53">
        <f t="shared" ref="G894:G898" si="442">F894-E894</f>
        <v>330453.94000000018</v>
      </c>
      <c r="I894" s="2"/>
    </row>
    <row r="895" spans="1:9" x14ac:dyDescent="0.25">
      <c r="A895" s="28"/>
      <c r="B895" s="28"/>
      <c r="C895" s="28" t="s">
        <v>90</v>
      </c>
      <c r="D895" s="53">
        <v>-389704</v>
      </c>
      <c r="E895" s="53">
        <f>D895+57896.49+8000</f>
        <v>-323807.51</v>
      </c>
      <c r="F895" s="53">
        <v>-227986.59</v>
      </c>
      <c r="G895" s="53">
        <f t="shared" si="442"/>
        <v>95820.920000000013</v>
      </c>
      <c r="I895" s="2"/>
    </row>
    <row r="896" spans="1:9" x14ac:dyDescent="0.25">
      <c r="A896" s="28"/>
      <c r="B896" s="28"/>
      <c r="C896" s="28" t="s">
        <v>100</v>
      </c>
      <c r="D896" s="53">
        <v>-104087</v>
      </c>
      <c r="E896" s="53">
        <f>D896-172186.95-8000</f>
        <v>-284273.95</v>
      </c>
      <c r="F896" s="53">
        <v>-72187.899999999994</v>
      </c>
      <c r="G896" s="53">
        <f t="shared" si="442"/>
        <v>212086.05000000002</v>
      </c>
      <c r="I896" s="2"/>
    </row>
    <row r="897" spans="1:9" x14ac:dyDescent="0.25">
      <c r="A897" s="28"/>
      <c r="B897" s="28"/>
      <c r="C897" s="59" t="s">
        <v>80</v>
      </c>
      <c r="D897" s="52">
        <f>D898</f>
        <v>0</v>
      </c>
      <c r="E897" s="52">
        <f>E898</f>
        <v>0</v>
      </c>
      <c r="F897" s="52">
        <f>F898</f>
        <v>-1215.49</v>
      </c>
      <c r="G897" s="52">
        <f t="shared" si="442"/>
        <v>-1215.49</v>
      </c>
      <c r="I897" s="2"/>
    </row>
    <row r="898" spans="1:9" x14ac:dyDescent="0.25">
      <c r="A898" s="28"/>
      <c r="B898" s="28"/>
      <c r="C898" s="56" t="s">
        <v>95</v>
      </c>
      <c r="D898" s="52">
        <v>0</v>
      </c>
      <c r="E898" s="52">
        <v>0</v>
      </c>
      <c r="F898" s="52">
        <v>-1215.49</v>
      </c>
      <c r="G898" s="52">
        <f t="shared" si="442"/>
        <v>-1215.49</v>
      </c>
      <c r="I898" s="2"/>
    </row>
    <row r="899" spans="1:9" s="14" customFormat="1" x14ac:dyDescent="0.25">
      <c r="A899" s="51"/>
      <c r="B899" s="51"/>
      <c r="C899" s="59" t="s">
        <v>81</v>
      </c>
      <c r="D899" s="54">
        <f>SUM(D900:D902)</f>
        <v>-215935</v>
      </c>
      <c r="E899" s="54">
        <f>SUM(E900:E902)</f>
        <v>-587973.36</v>
      </c>
      <c r="F899" s="54">
        <f>SUM(F900:F902)</f>
        <v>-583282.72</v>
      </c>
      <c r="G899" s="54">
        <f>F899-E899</f>
        <v>4690.640000000014</v>
      </c>
      <c r="H899" s="9"/>
      <c r="I899" s="2"/>
    </row>
    <row r="900" spans="1:9" x14ac:dyDescent="0.25">
      <c r="A900" s="28"/>
      <c r="B900" s="28"/>
      <c r="C900" s="56" t="s">
        <v>89</v>
      </c>
      <c r="D900" s="52">
        <v>-60710</v>
      </c>
      <c r="E900" s="52">
        <f>D900-145045.37</f>
        <v>-205755.37</v>
      </c>
      <c r="F900" s="52">
        <v>-202643.98</v>
      </c>
      <c r="G900" s="52">
        <f>F900-E900</f>
        <v>3111.3899999999849</v>
      </c>
      <c r="I900" s="2"/>
    </row>
    <row r="901" spans="1:9" x14ac:dyDescent="0.25">
      <c r="A901" s="28"/>
      <c r="B901" s="28"/>
      <c r="C901" s="56" t="s">
        <v>90</v>
      </c>
      <c r="D901" s="52">
        <v>-155225</v>
      </c>
      <c r="E901" s="52">
        <f>D901+89351.61</f>
        <v>-65873.39</v>
      </c>
      <c r="F901" s="52">
        <v>-65191.26</v>
      </c>
      <c r="G901" s="52">
        <f>F901-E901</f>
        <v>682.12999999999738</v>
      </c>
      <c r="I901" s="2"/>
    </row>
    <row r="902" spans="1:9" x14ac:dyDescent="0.25">
      <c r="A902" s="28"/>
      <c r="B902" s="28"/>
      <c r="C902" s="56" t="s">
        <v>100</v>
      </c>
      <c r="D902" s="52">
        <v>0</v>
      </c>
      <c r="E902" s="52">
        <v>-316344.59999999998</v>
      </c>
      <c r="F902" s="52">
        <v>-315447.48</v>
      </c>
      <c r="G902" s="52">
        <f>F902-E902</f>
        <v>897.11999999999534</v>
      </c>
      <c r="I902" s="2"/>
    </row>
    <row r="903" spans="1:9" x14ac:dyDescent="0.25">
      <c r="A903" s="28"/>
      <c r="B903" s="28"/>
      <c r="C903" s="59" t="s">
        <v>82</v>
      </c>
      <c r="D903" s="52">
        <f>D904</f>
        <v>0</v>
      </c>
      <c r="E903" s="52">
        <f>E904</f>
        <v>-166.45</v>
      </c>
      <c r="F903" s="52">
        <f>F904</f>
        <v>-166.45</v>
      </c>
      <c r="G903" s="52">
        <f t="shared" ref="G903:G904" si="443">F903-E903</f>
        <v>0</v>
      </c>
      <c r="I903" s="2"/>
    </row>
    <row r="904" spans="1:9" x14ac:dyDescent="0.25">
      <c r="A904" s="28"/>
      <c r="B904" s="28"/>
      <c r="C904" s="56" t="s">
        <v>89</v>
      </c>
      <c r="D904" s="52">
        <v>0</v>
      </c>
      <c r="E904" s="52">
        <v>-166.45</v>
      </c>
      <c r="F904" s="52">
        <v>-166.45</v>
      </c>
      <c r="G904" s="52">
        <f t="shared" si="443"/>
        <v>0</v>
      </c>
      <c r="I904" s="2"/>
    </row>
    <row r="905" spans="1:9" x14ac:dyDescent="0.25">
      <c r="A905" s="51"/>
      <c r="B905" s="51" t="s">
        <v>88</v>
      </c>
      <c r="C905" s="59"/>
      <c r="D905" s="54">
        <f>SUM(D906:D908)</f>
        <v>-170739</v>
      </c>
      <c r="E905" s="54">
        <f>SUM(E906:E908)</f>
        <v>-295810.31</v>
      </c>
      <c r="F905" s="54">
        <f>SUM(F906:F908)</f>
        <v>-253160.13</v>
      </c>
      <c r="G905" s="54">
        <f>F905-E905</f>
        <v>42650.179999999993</v>
      </c>
      <c r="I905" s="2"/>
    </row>
    <row r="906" spans="1:9" x14ac:dyDescent="0.25">
      <c r="A906" s="28"/>
      <c r="B906" s="28"/>
      <c r="C906" s="56" t="s">
        <v>89</v>
      </c>
      <c r="D906" s="52">
        <f>D910+D915+D918</f>
        <v>-84206</v>
      </c>
      <c r="E906" s="52">
        <f t="shared" ref="E906:F906" si="444">E910+E915+E918</f>
        <v>-127671.44</v>
      </c>
      <c r="F906" s="52">
        <f t="shared" si="444"/>
        <v>-116525.32999999999</v>
      </c>
      <c r="G906" s="52">
        <f t="shared" ref="G906:G908" si="445">F906-E906</f>
        <v>11146.110000000015</v>
      </c>
      <c r="I906" s="2"/>
    </row>
    <row r="907" spans="1:9" x14ac:dyDescent="0.25">
      <c r="A907" s="28"/>
      <c r="B907" s="28"/>
      <c r="C907" s="56" t="s">
        <v>90</v>
      </c>
      <c r="D907" s="52">
        <f>D911+D916+D919</f>
        <v>-24980</v>
      </c>
      <c r="E907" s="52">
        <f t="shared" ref="E907:F907" si="446">E911+E916+E919</f>
        <v>-106585.87000000001</v>
      </c>
      <c r="F907" s="52">
        <f t="shared" si="446"/>
        <v>-55613.409999999996</v>
      </c>
      <c r="G907" s="52">
        <f t="shared" si="445"/>
        <v>50972.460000000014</v>
      </c>
      <c r="I907" s="2"/>
    </row>
    <row r="908" spans="1:9" x14ac:dyDescent="0.25">
      <c r="A908" s="28"/>
      <c r="B908" s="28"/>
      <c r="C908" s="56" t="s">
        <v>91</v>
      </c>
      <c r="D908" s="52">
        <f>D920+D913</f>
        <v>-61553</v>
      </c>
      <c r="E908" s="52">
        <f>E920+E913</f>
        <v>-61553</v>
      </c>
      <c r="F908" s="52">
        <f>F920+F913</f>
        <v>-81021.39</v>
      </c>
      <c r="G908" s="52">
        <f t="shared" si="445"/>
        <v>-19468.39</v>
      </c>
      <c r="I908" s="2"/>
    </row>
    <row r="909" spans="1:9" x14ac:dyDescent="0.25">
      <c r="A909" s="51"/>
      <c r="B909" s="51"/>
      <c r="C909" s="59" t="s">
        <v>79</v>
      </c>
      <c r="D909" s="54">
        <f>SUM(D910:D911)</f>
        <v>-83455</v>
      </c>
      <c r="E909" s="54">
        <f>SUM(E910:E911)</f>
        <v>-112703.86</v>
      </c>
      <c r="F909" s="54">
        <f>SUM(F910:F911)</f>
        <v>-56744.86</v>
      </c>
      <c r="G909" s="54">
        <f>F909-E909</f>
        <v>55959</v>
      </c>
      <c r="I909" s="2"/>
    </row>
    <row r="910" spans="1:9" x14ac:dyDescent="0.25">
      <c r="A910" s="28"/>
      <c r="B910" s="28"/>
      <c r="C910" s="56" t="s">
        <v>89</v>
      </c>
      <c r="D910" s="52">
        <v>-62775</v>
      </c>
      <c r="E910" s="52">
        <f>D910+14455.04</f>
        <v>-48319.96</v>
      </c>
      <c r="F910" s="52">
        <v>-39821.089999999997</v>
      </c>
      <c r="G910" s="52">
        <f t="shared" ref="G910:G913" si="447">F910-E910</f>
        <v>8498.8700000000026</v>
      </c>
      <c r="I910" s="2"/>
    </row>
    <row r="911" spans="1:9" x14ac:dyDescent="0.25">
      <c r="A911" s="28"/>
      <c r="B911" s="28"/>
      <c r="C911" s="56" t="s">
        <v>90</v>
      </c>
      <c r="D911" s="52">
        <v>-20680</v>
      </c>
      <c r="E911" s="52">
        <f>D911-43703.9</f>
        <v>-64383.9</v>
      </c>
      <c r="F911" s="52">
        <v>-16923.77</v>
      </c>
      <c r="G911" s="52">
        <f t="shared" si="447"/>
        <v>47460.130000000005</v>
      </c>
      <c r="I911" s="2"/>
    </row>
    <row r="912" spans="1:9" x14ac:dyDescent="0.25">
      <c r="A912" s="28"/>
      <c r="B912" s="28"/>
      <c r="C912" s="59" t="s">
        <v>80</v>
      </c>
      <c r="D912" s="52">
        <f>D913</f>
        <v>0</v>
      </c>
      <c r="E912" s="52">
        <f>E913</f>
        <v>0</v>
      </c>
      <c r="F912" s="52">
        <f>F913</f>
        <v>-1.2</v>
      </c>
      <c r="G912" s="52">
        <f t="shared" si="447"/>
        <v>-1.2</v>
      </c>
      <c r="I912" s="2"/>
    </row>
    <row r="913" spans="1:9" x14ac:dyDescent="0.25">
      <c r="A913" s="28"/>
      <c r="B913" s="28"/>
      <c r="C913" s="28" t="s">
        <v>95</v>
      </c>
      <c r="D913" s="53">
        <v>0</v>
      </c>
      <c r="E913" s="53">
        <v>0</v>
      </c>
      <c r="F913" s="53">
        <v>-1.2</v>
      </c>
      <c r="G913" s="53">
        <f t="shared" si="447"/>
        <v>-1.2</v>
      </c>
      <c r="I913" s="2"/>
    </row>
    <row r="914" spans="1:9" s="14" customFormat="1" x14ac:dyDescent="0.25">
      <c r="A914" s="51"/>
      <c r="B914" s="51"/>
      <c r="C914" s="59" t="s">
        <v>81</v>
      </c>
      <c r="D914" s="54">
        <f>SUM(D915:D916)</f>
        <v>-20585</v>
      </c>
      <c r="E914" s="54">
        <f t="shared" ref="E914:F914" si="448">SUM(E915:E916)</f>
        <v>-48995.51</v>
      </c>
      <c r="F914" s="54">
        <f t="shared" si="448"/>
        <v>-44698.45</v>
      </c>
      <c r="G914" s="54">
        <f>F914-E914</f>
        <v>4297.0600000000049</v>
      </c>
      <c r="H914" s="9"/>
      <c r="I914" s="2"/>
    </row>
    <row r="915" spans="1:9" x14ac:dyDescent="0.25">
      <c r="A915" s="28"/>
      <c r="B915" s="28"/>
      <c r="C915" s="56" t="s">
        <v>89</v>
      </c>
      <c r="D915" s="52">
        <v>-17145</v>
      </c>
      <c r="E915" s="52">
        <f>D915+2579.79</f>
        <v>-14565.21</v>
      </c>
      <c r="F915" s="52">
        <v>-11918.99</v>
      </c>
      <c r="G915" s="52">
        <f t="shared" ref="G915:G916" si="449">F915-E915</f>
        <v>2646.2199999999993</v>
      </c>
      <c r="I915" s="2"/>
    </row>
    <row r="916" spans="1:9" x14ac:dyDescent="0.25">
      <c r="A916" s="28"/>
      <c r="B916" s="28"/>
      <c r="C916" s="56" t="s">
        <v>90</v>
      </c>
      <c r="D916" s="52">
        <v>-3440</v>
      </c>
      <c r="E916" s="52">
        <f>D916-30990.3</f>
        <v>-34430.300000000003</v>
      </c>
      <c r="F916" s="52">
        <v>-32779.46</v>
      </c>
      <c r="G916" s="52">
        <f t="shared" si="449"/>
        <v>1650.8400000000038</v>
      </c>
      <c r="I916" s="2"/>
    </row>
    <row r="917" spans="1:9" s="14" customFormat="1" x14ac:dyDescent="0.25">
      <c r="A917" s="51"/>
      <c r="B917" s="51"/>
      <c r="C917" s="59" t="s">
        <v>82</v>
      </c>
      <c r="D917" s="54">
        <f>SUM(D918:D919)</f>
        <v>-5146</v>
      </c>
      <c r="E917" s="54">
        <f t="shared" ref="E917:F917" si="450">SUM(E918:E919)</f>
        <v>-72557.94</v>
      </c>
      <c r="F917" s="54">
        <f t="shared" si="450"/>
        <v>-70695.429999999993</v>
      </c>
      <c r="G917" s="54">
        <f>F917-E917</f>
        <v>1862.5100000000093</v>
      </c>
      <c r="H917" s="9"/>
      <c r="I917" s="2"/>
    </row>
    <row r="918" spans="1:9" x14ac:dyDescent="0.25">
      <c r="A918" s="28"/>
      <c r="B918" s="28"/>
      <c r="C918" s="56" t="s">
        <v>89</v>
      </c>
      <c r="D918" s="52">
        <v>-4286</v>
      </c>
      <c r="E918" s="52">
        <f>D918-60500.27</f>
        <v>-64786.27</v>
      </c>
      <c r="F918" s="52">
        <v>-64785.25</v>
      </c>
      <c r="G918" s="52">
        <f t="shared" ref="G918:G920" si="451">F918-E918</f>
        <v>1.0199999999967986</v>
      </c>
      <c r="I918" s="2"/>
    </row>
    <row r="919" spans="1:9" x14ac:dyDescent="0.25">
      <c r="A919" s="28"/>
      <c r="B919" s="28"/>
      <c r="C919" s="56" t="s">
        <v>90</v>
      </c>
      <c r="D919" s="52">
        <v>-860</v>
      </c>
      <c r="E919" s="52">
        <f>D919-6911.67</f>
        <v>-7771.67</v>
      </c>
      <c r="F919" s="52">
        <v>-5910.18</v>
      </c>
      <c r="G919" s="52">
        <f t="shared" si="451"/>
        <v>1861.4899999999998</v>
      </c>
      <c r="I919" s="2"/>
    </row>
    <row r="920" spans="1:9" s="14" customFormat="1" x14ac:dyDescent="0.25">
      <c r="A920" s="51"/>
      <c r="B920" s="51"/>
      <c r="C920" s="59" t="s">
        <v>85</v>
      </c>
      <c r="D920" s="54">
        <v>-61553</v>
      </c>
      <c r="E920" s="54">
        <f t="shared" ref="E920" si="452">D920</f>
        <v>-61553</v>
      </c>
      <c r="F920" s="54">
        <v>-81020.19</v>
      </c>
      <c r="G920" s="54">
        <f t="shared" si="451"/>
        <v>-19467.190000000002</v>
      </c>
      <c r="H920" s="9"/>
      <c r="I920" s="2"/>
    </row>
    <row r="921" spans="1:9" s="14" customFormat="1" ht="15.75" x14ac:dyDescent="0.25">
      <c r="A921" s="39" t="s">
        <v>140</v>
      </c>
      <c r="B921" s="51"/>
      <c r="C921" s="59"/>
      <c r="D921" s="54">
        <f>SUM(D922:D923)</f>
        <v>-16053490</v>
      </c>
      <c r="E921" s="54">
        <f>SUM(E922:E923)</f>
        <v>-29221986.57</v>
      </c>
      <c r="F921" s="54">
        <f>SUM(F922:F923)</f>
        <v>-26150794.640000001</v>
      </c>
      <c r="G921" s="54">
        <f>F921-E921</f>
        <v>3071191.9299999997</v>
      </c>
      <c r="H921" s="9"/>
      <c r="I921" s="2"/>
    </row>
    <row r="922" spans="1:9" x14ac:dyDescent="0.25">
      <c r="A922" s="28"/>
      <c r="B922" s="28" t="s">
        <v>79</v>
      </c>
      <c r="C922" s="56"/>
      <c r="D922" s="52">
        <f>D929</f>
        <v>-3423944</v>
      </c>
      <c r="E922" s="52">
        <f t="shared" ref="E922:F922" si="453">E929</f>
        <v>-9082277.8200000003</v>
      </c>
      <c r="F922" s="52">
        <f t="shared" si="453"/>
        <v>-6011085.9000000004</v>
      </c>
      <c r="G922" s="52">
        <f>F922-E922</f>
        <v>3071191.92</v>
      </c>
      <c r="I922" s="2"/>
    </row>
    <row r="923" spans="1:9" x14ac:dyDescent="0.25">
      <c r="A923" s="28"/>
      <c r="B923" s="28" t="s">
        <v>81</v>
      </c>
      <c r="C923" s="56"/>
      <c r="D923" s="52">
        <f>D933</f>
        <v>-12629546</v>
      </c>
      <c r="E923" s="52">
        <f t="shared" ref="E923:F923" si="454">E933</f>
        <v>-20139708.75</v>
      </c>
      <c r="F923" s="52">
        <f t="shared" si="454"/>
        <v>-20139708.739999998</v>
      </c>
      <c r="G923" s="52">
        <f>F923-E923</f>
        <v>1.0000001639127731E-2</v>
      </c>
      <c r="I923" s="2"/>
    </row>
    <row r="924" spans="1:9" x14ac:dyDescent="0.25">
      <c r="A924" s="51"/>
      <c r="B924" s="51" t="s">
        <v>99</v>
      </c>
      <c r="C924" s="59"/>
      <c r="D924" s="54">
        <f>SUM(D925:D928)</f>
        <v>-16053490</v>
      </c>
      <c r="E924" s="54">
        <f>SUM(E925:E928)</f>
        <v>-29221986.57</v>
      </c>
      <c r="F924" s="54">
        <f>SUM(F925:F928)</f>
        <v>-26150794.639999997</v>
      </c>
      <c r="G924" s="54">
        <f>F924-E924</f>
        <v>3071191.9300000034</v>
      </c>
      <c r="I924" s="2"/>
    </row>
    <row r="925" spans="1:9" x14ac:dyDescent="0.25">
      <c r="A925" s="28"/>
      <c r="B925" s="28"/>
      <c r="C925" s="56" t="s">
        <v>89</v>
      </c>
      <c r="D925" s="52">
        <f>D930</f>
        <v>-22816</v>
      </c>
      <c r="E925" s="52">
        <f t="shared" ref="E925:F925" si="455">E930</f>
        <v>-22816</v>
      </c>
      <c r="F925" s="52">
        <f t="shared" si="455"/>
        <v>-22815.98</v>
      </c>
      <c r="G925" s="52">
        <f t="shared" ref="G925:G928" si="456">F925-E925</f>
        <v>2.0000000000436557E-2</v>
      </c>
      <c r="I925" s="2"/>
    </row>
    <row r="926" spans="1:9" x14ac:dyDescent="0.25">
      <c r="A926" s="28"/>
      <c r="B926" s="28"/>
      <c r="C926" s="56" t="s">
        <v>111</v>
      </c>
      <c r="D926" s="52">
        <f>D934+D931</f>
        <v>-12629546</v>
      </c>
      <c r="E926" s="52">
        <f>E934+E931</f>
        <v>-7940838.0299999993</v>
      </c>
      <c r="F926" s="52">
        <f>F934+F931</f>
        <v>-4869646.13</v>
      </c>
      <c r="G926" s="52">
        <f t="shared" si="456"/>
        <v>3071191.8999999994</v>
      </c>
      <c r="I926" s="2"/>
    </row>
    <row r="927" spans="1:9" x14ac:dyDescent="0.25">
      <c r="A927" s="28"/>
      <c r="B927" s="28"/>
      <c r="C927" s="56" t="s">
        <v>100</v>
      </c>
      <c r="D927" s="52">
        <f>D932+D935</f>
        <v>-3401128</v>
      </c>
      <c r="E927" s="52">
        <f>E932+E935</f>
        <v>-21258332.539999999</v>
      </c>
      <c r="F927" s="52">
        <f>F932+F935</f>
        <v>-21146959.989999998</v>
      </c>
      <c r="G927" s="52">
        <f t="shared" si="456"/>
        <v>111372.55000000075</v>
      </c>
      <c r="I927" s="2"/>
    </row>
    <row r="928" spans="1:9" x14ac:dyDescent="0.25">
      <c r="A928" s="28"/>
      <c r="B928" s="28"/>
      <c r="C928" s="56" t="s">
        <v>95</v>
      </c>
      <c r="D928" s="52">
        <f>D936</f>
        <v>0</v>
      </c>
      <c r="E928" s="52">
        <f>E936</f>
        <v>0</v>
      </c>
      <c r="F928" s="52">
        <f>F936</f>
        <v>-111372.54</v>
      </c>
      <c r="G928" s="52">
        <f t="shared" si="456"/>
        <v>-111372.54</v>
      </c>
      <c r="I928" s="2"/>
    </row>
    <row r="929" spans="1:9" x14ac:dyDescent="0.25">
      <c r="A929" s="51"/>
      <c r="B929" s="51"/>
      <c r="C929" s="59" t="s">
        <v>79</v>
      </c>
      <c r="D929" s="54">
        <f>SUM(D930:D932)</f>
        <v>-3423944</v>
      </c>
      <c r="E929" s="54">
        <f>SUM(E930:E932)</f>
        <v>-9082277.8200000003</v>
      </c>
      <c r="F929" s="54">
        <f>SUM(F930:F932)</f>
        <v>-6011085.9000000004</v>
      </c>
      <c r="G929" s="54">
        <f>F929-E929</f>
        <v>3071191.92</v>
      </c>
      <c r="I929" s="2"/>
    </row>
    <row r="930" spans="1:9" x14ac:dyDescent="0.25">
      <c r="A930" s="28"/>
      <c r="B930" s="28"/>
      <c r="C930" s="28" t="s">
        <v>89</v>
      </c>
      <c r="D930" s="53">
        <v>-22816</v>
      </c>
      <c r="E930" s="53">
        <f t="shared" ref="E930" si="457">D930</f>
        <v>-22816</v>
      </c>
      <c r="F930" s="53">
        <v>-22815.98</v>
      </c>
      <c r="G930" s="53">
        <f t="shared" ref="G930:G932" si="458">F930-E930</f>
        <v>2.0000000000436557E-2</v>
      </c>
      <c r="I930" s="2"/>
    </row>
    <row r="931" spans="1:9" x14ac:dyDescent="0.25">
      <c r="A931" s="28"/>
      <c r="B931" s="28"/>
      <c r="C931" s="28" t="s">
        <v>111</v>
      </c>
      <c r="D931" s="53">
        <v>0</v>
      </c>
      <c r="E931" s="53">
        <v>-8637581.6199999992</v>
      </c>
      <c r="F931" s="53">
        <v>-5566389.7199999997</v>
      </c>
      <c r="G931" s="53">
        <f t="shared" si="458"/>
        <v>3071191.8999999994</v>
      </c>
      <c r="I931" s="2"/>
    </row>
    <row r="932" spans="1:9" x14ac:dyDescent="0.25">
      <c r="A932" s="28"/>
      <c r="B932" s="28"/>
      <c r="C932" s="28" t="s">
        <v>100</v>
      </c>
      <c r="D932" s="53">
        <v>-3401128</v>
      </c>
      <c r="E932" s="53">
        <f>D932+2979247.8</f>
        <v>-421880.20000000019</v>
      </c>
      <c r="F932" s="53">
        <v>-421880.2</v>
      </c>
      <c r="G932" s="53">
        <f t="shared" si="458"/>
        <v>0</v>
      </c>
      <c r="I932" s="2"/>
    </row>
    <row r="933" spans="1:9" s="14" customFormat="1" x14ac:dyDescent="0.25">
      <c r="A933" s="51"/>
      <c r="B933" s="51"/>
      <c r="C933" s="59" t="s">
        <v>81</v>
      </c>
      <c r="D933" s="54">
        <f>SUM(D934:D936)</f>
        <v>-12629546</v>
      </c>
      <c r="E933" s="54">
        <f>SUM(E934:E936)</f>
        <v>-20139708.75</v>
      </c>
      <c r="F933" s="54">
        <f>SUM(F934:F936)</f>
        <v>-20139708.739999998</v>
      </c>
      <c r="G933" s="54">
        <f t="shared" ref="G933:G942" si="459">F933-E933</f>
        <v>1.0000001639127731E-2</v>
      </c>
      <c r="H933" s="9"/>
      <c r="I933" s="2"/>
    </row>
    <row r="934" spans="1:9" x14ac:dyDescent="0.25">
      <c r="A934" s="28"/>
      <c r="B934" s="28"/>
      <c r="C934" s="56" t="s">
        <v>111</v>
      </c>
      <c r="D934" s="52">
        <v>-12629546</v>
      </c>
      <c r="E934" s="52">
        <f>D934+13326289.59</f>
        <v>696743.58999999985</v>
      </c>
      <c r="F934" s="52">
        <v>696743.59</v>
      </c>
      <c r="G934" s="52">
        <f t="shared" si="459"/>
        <v>0</v>
      </c>
      <c r="I934" s="2"/>
    </row>
    <row r="935" spans="1:9" x14ac:dyDescent="0.25">
      <c r="A935" s="28"/>
      <c r="B935" s="28"/>
      <c r="C935" s="27" t="s">
        <v>100</v>
      </c>
      <c r="D935" s="52">
        <v>0</v>
      </c>
      <c r="E935" s="52">
        <v>-20836452.34</v>
      </c>
      <c r="F935" s="52">
        <v>-20725079.789999999</v>
      </c>
      <c r="G935" s="52">
        <f t="shared" si="459"/>
        <v>111372.55000000075</v>
      </c>
      <c r="I935" s="2"/>
    </row>
    <row r="936" spans="1:9" x14ac:dyDescent="0.25">
      <c r="A936" s="28"/>
      <c r="B936" s="28"/>
      <c r="C936" s="56" t="s">
        <v>95</v>
      </c>
      <c r="D936" s="52">
        <v>0</v>
      </c>
      <c r="E936" s="52">
        <v>0</v>
      </c>
      <c r="F936" s="52">
        <v>-111372.54</v>
      </c>
      <c r="G936" s="52">
        <f t="shared" si="459"/>
        <v>-111372.54</v>
      </c>
      <c r="I936" s="2"/>
    </row>
    <row r="937" spans="1:9" s="14" customFormat="1" ht="15.75" x14ac:dyDescent="0.25">
      <c r="A937" s="39" t="s">
        <v>141</v>
      </c>
      <c r="B937" s="51"/>
      <c r="C937" s="59"/>
      <c r="D937" s="54">
        <f>SUM(D938:D941)</f>
        <v>-6940752</v>
      </c>
      <c r="E937" s="54">
        <f t="shared" ref="E937:F937" si="460">SUM(E938:E941)</f>
        <v>-7483526.370000001</v>
      </c>
      <c r="F937" s="54">
        <f t="shared" si="460"/>
        <v>-6408253.8899999997</v>
      </c>
      <c r="G937" s="54">
        <f t="shared" si="459"/>
        <v>1075272.4800000014</v>
      </c>
      <c r="H937" s="9"/>
      <c r="I937" s="2"/>
    </row>
    <row r="938" spans="1:9" x14ac:dyDescent="0.25">
      <c r="A938" s="28"/>
      <c r="B938" s="28" t="s">
        <v>79</v>
      </c>
      <c r="C938" s="56"/>
      <c r="D938" s="52">
        <f>D945+D952+D966</f>
        <v>-5440666</v>
      </c>
      <c r="E938" s="52">
        <f t="shared" ref="E938:F938" si="461">E945+E952+E966</f>
        <v>-5983196.6600000011</v>
      </c>
      <c r="F938" s="52">
        <f t="shared" si="461"/>
        <v>-5676072.0999999996</v>
      </c>
      <c r="G938" s="52">
        <f t="shared" si="459"/>
        <v>307124.56000000145</v>
      </c>
      <c r="I938" s="2"/>
    </row>
    <row r="939" spans="1:9" x14ac:dyDescent="0.25">
      <c r="A939" s="28"/>
      <c r="B939" s="28" t="s">
        <v>80</v>
      </c>
      <c r="C939" s="56"/>
      <c r="D939" s="52">
        <f>D955</f>
        <v>-1500000</v>
      </c>
      <c r="E939" s="52">
        <f t="shared" ref="E939:F939" si="462">E955</f>
        <v>-1500000</v>
      </c>
      <c r="F939" s="52">
        <f t="shared" si="462"/>
        <v>-732000</v>
      </c>
      <c r="G939" s="52">
        <f t="shared" si="459"/>
        <v>768000</v>
      </c>
      <c r="I939" s="2"/>
    </row>
    <row r="940" spans="1:9" x14ac:dyDescent="0.25">
      <c r="A940" s="28"/>
      <c r="B940" s="28" t="s">
        <v>82</v>
      </c>
      <c r="C940" s="56"/>
      <c r="D940" s="52">
        <f>D958</f>
        <v>0</v>
      </c>
      <c r="E940" s="52">
        <f>E958</f>
        <v>-261.07000000000005</v>
      </c>
      <c r="F940" s="52">
        <f>F958</f>
        <v>-61.05</v>
      </c>
      <c r="G940" s="52">
        <f t="shared" si="459"/>
        <v>200.02000000000004</v>
      </c>
      <c r="I940" s="2"/>
    </row>
    <row r="941" spans="1:9" x14ac:dyDescent="0.25">
      <c r="A941" s="28"/>
      <c r="B941" s="28" t="s">
        <v>85</v>
      </c>
      <c r="C941" s="56"/>
      <c r="D941" s="52">
        <f>D969+D961</f>
        <v>-86</v>
      </c>
      <c r="E941" s="52">
        <f>E969+E961</f>
        <v>-68.64</v>
      </c>
      <c r="F941" s="52">
        <f>F969+F961</f>
        <v>-120.74</v>
      </c>
      <c r="G941" s="52">
        <f t="shared" si="459"/>
        <v>-52.099999999999994</v>
      </c>
      <c r="I941" s="2"/>
    </row>
    <row r="942" spans="1:9" x14ac:dyDescent="0.25">
      <c r="A942" s="51"/>
      <c r="B942" s="51" t="s">
        <v>99</v>
      </c>
      <c r="C942" s="59"/>
      <c r="D942" s="54">
        <f>SUM(D943:D944)</f>
        <v>-5426269</v>
      </c>
      <c r="E942" s="54">
        <f>SUM(E943:E944)</f>
        <v>-5965437.9800000004</v>
      </c>
      <c r="F942" s="54">
        <f>SUM(F943:F944)</f>
        <v>-5658631.9299999997</v>
      </c>
      <c r="G942" s="54">
        <f t="shared" si="459"/>
        <v>306806.05000000075</v>
      </c>
      <c r="I942" s="2"/>
    </row>
    <row r="943" spans="1:9" x14ac:dyDescent="0.25">
      <c r="A943" s="28"/>
      <c r="B943" s="28"/>
      <c r="C943" s="56" t="s">
        <v>90</v>
      </c>
      <c r="D943" s="52">
        <f>D946</f>
        <v>-1825655</v>
      </c>
      <c r="E943" s="52">
        <f>E946</f>
        <v>-1810192.99</v>
      </c>
      <c r="F943" s="52">
        <f t="shared" ref="F943" si="463">F946</f>
        <v>-1697707.36</v>
      </c>
      <c r="G943" s="52">
        <f t="shared" ref="G943:G944" si="464">F943-E943</f>
        <v>112485.62999999989</v>
      </c>
      <c r="I943" s="2"/>
    </row>
    <row r="944" spans="1:9" x14ac:dyDescent="0.25">
      <c r="A944" s="28"/>
      <c r="B944" s="28"/>
      <c r="C944" s="56" t="s">
        <v>100</v>
      </c>
      <c r="D944" s="52">
        <f>D947</f>
        <v>-3600614</v>
      </c>
      <c r="E944" s="52">
        <f t="shared" ref="E944:F944" si="465">E947</f>
        <v>-4155244.99</v>
      </c>
      <c r="F944" s="52">
        <f t="shared" si="465"/>
        <v>-3960924.57</v>
      </c>
      <c r="G944" s="52">
        <f t="shared" si="464"/>
        <v>194320.42000000039</v>
      </c>
      <c r="I944" s="2"/>
    </row>
    <row r="945" spans="1:9" x14ac:dyDescent="0.25">
      <c r="A945" s="51"/>
      <c r="B945" s="51"/>
      <c r="C945" s="59" t="s">
        <v>79</v>
      </c>
      <c r="D945" s="54">
        <f>SUM(D946:D947)</f>
        <v>-5426269</v>
      </c>
      <c r="E945" s="54">
        <f>SUM(E946:E947)</f>
        <v>-5965437.9800000004</v>
      </c>
      <c r="F945" s="54">
        <f>SUM(F946:F947)</f>
        <v>-5658631.9299999997</v>
      </c>
      <c r="G945" s="54">
        <f>F945-E945</f>
        <v>306806.05000000075</v>
      </c>
      <c r="I945" s="2"/>
    </row>
    <row r="946" spans="1:9" x14ac:dyDescent="0.25">
      <c r="A946" s="28"/>
      <c r="B946" s="28"/>
      <c r="C946" s="28" t="s">
        <v>90</v>
      </c>
      <c r="D946" s="53">
        <v>-1825655</v>
      </c>
      <c r="E946" s="53">
        <f>D946+15462.01</f>
        <v>-1810192.99</v>
      </c>
      <c r="F946" s="53">
        <v>-1697707.36</v>
      </c>
      <c r="G946" s="53">
        <f t="shared" ref="G946:G947" si="466">F946-E946</f>
        <v>112485.62999999989</v>
      </c>
      <c r="I946" s="2"/>
    </row>
    <row r="947" spans="1:9" x14ac:dyDescent="0.25">
      <c r="A947" s="28"/>
      <c r="B947" s="28"/>
      <c r="C947" s="28" t="s">
        <v>100</v>
      </c>
      <c r="D947" s="53">
        <v>-3600614</v>
      </c>
      <c r="E947" s="53">
        <f>D947-554630.99</f>
        <v>-4155244.99</v>
      </c>
      <c r="F947" s="53">
        <v>-3960924.57</v>
      </c>
      <c r="G947" s="53">
        <f t="shared" si="466"/>
        <v>194320.42000000039</v>
      </c>
      <c r="I947" s="2"/>
    </row>
    <row r="948" spans="1:9" x14ac:dyDescent="0.25">
      <c r="A948" s="51"/>
      <c r="B948" s="51" t="s">
        <v>129</v>
      </c>
      <c r="C948" s="51"/>
      <c r="D948" s="54">
        <f>SUM(D949:D951)</f>
        <v>-1513513</v>
      </c>
      <c r="E948" s="54">
        <f>SUM(E949:E951)</f>
        <v>-1516969.93</v>
      </c>
      <c r="F948" s="54">
        <f>SUM(F949:F951)</f>
        <v>-748551.54</v>
      </c>
      <c r="G948" s="54">
        <f>F948-E948</f>
        <v>768418.3899999999</v>
      </c>
      <c r="I948" s="2"/>
    </row>
    <row r="949" spans="1:9" x14ac:dyDescent="0.25">
      <c r="A949" s="28"/>
      <c r="B949" s="28"/>
      <c r="C949" s="28" t="s">
        <v>89</v>
      </c>
      <c r="D949" s="52">
        <f t="shared" ref="D949:F950" si="467">D953+D959</f>
        <v>-11767</v>
      </c>
      <c r="E949" s="52">
        <f t="shared" si="467"/>
        <v>-15534.01</v>
      </c>
      <c r="F949" s="52">
        <f t="shared" si="467"/>
        <v>-15370.13</v>
      </c>
      <c r="G949" s="52">
        <f t="shared" ref="G949:G951" si="468">F949-E949</f>
        <v>163.88000000000102</v>
      </c>
      <c r="I949" s="2"/>
    </row>
    <row r="950" spans="1:9" x14ac:dyDescent="0.25">
      <c r="A950" s="28"/>
      <c r="B950" s="28"/>
      <c r="C950" s="28" t="s">
        <v>90</v>
      </c>
      <c r="D950" s="52">
        <f t="shared" si="467"/>
        <v>-1746</v>
      </c>
      <c r="E950" s="52">
        <f t="shared" si="467"/>
        <v>-1435.92</v>
      </c>
      <c r="F950" s="52">
        <f t="shared" si="467"/>
        <v>-1181.4100000000001</v>
      </c>
      <c r="G950" s="52">
        <f t="shared" si="468"/>
        <v>254.51</v>
      </c>
      <c r="I950" s="2"/>
    </row>
    <row r="951" spans="1:9" x14ac:dyDescent="0.25">
      <c r="A951" s="28"/>
      <c r="B951" s="28"/>
      <c r="C951" s="28" t="s">
        <v>94</v>
      </c>
      <c r="D951" s="52">
        <f>D956</f>
        <v>-1500000</v>
      </c>
      <c r="E951" s="52">
        <f t="shared" ref="E951:F951" si="469">E956</f>
        <v>-1500000</v>
      </c>
      <c r="F951" s="52">
        <f t="shared" si="469"/>
        <v>-732000</v>
      </c>
      <c r="G951" s="52">
        <f t="shared" si="468"/>
        <v>768000</v>
      </c>
      <c r="I951" s="2"/>
    </row>
    <row r="952" spans="1:9" x14ac:dyDescent="0.25">
      <c r="A952" s="51"/>
      <c r="B952" s="51"/>
      <c r="C952" s="51" t="s">
        <v>79</v>
      </c>
      <c r="D952" s="54">
        <f>SUM(D953:D954)</f>
        <v>-13513</v>
      </c>
      <c r="E952" s="54">
        <f>SUM(E953:E954)</f>
        <v>-16708.86</v>
      </c>
      <c r="F952" s="54">
        <f>SUM(F953:F954)</f>
        <v>-16490.489999999998</v>
      </c>
      <c r="G952" s="54">
        <f>F952-E952</f>
        <v>218.37000000000262</v>
      </c>
      <c r="I952" s="2"/>
    </row>
    <row r="953" spans="1:9" x14ac:dyDescent="0.25">
      <c r="A953" s="28"/>
      <c r="B953" s="28"/>
      <c r="C953" s="28" t="s">
        <v>89</v>
      </c>
      <c r="D953" s="52">
        <v>-11767</v>
      </c>
      <c r="E953" s="52">
        <f>D953-3635.93</f>
        <v>-15402.93</v>
      </c>
      <c r="F953" s="52">
        <v>-15339.06</v>
      </c>
      <c r="G953" s="52">
        <f t="shared" ref="G953:G954" si="470">F953-E953</f>
        <v>63.8700000000008</v>
      </c>
      <c r="I953" s="2"/>
    </row>
    <row r="954" spans="1:9" x14ac:dyDescent="0.25">
      <c r="A954" s="28"/>
      <c r="B954" s="28"/>
      <c r="C954" s="28" t="s">
        <v>90</v>
      </c>
      <c r="D954" s="52">
        <v>-1746</v>
      </c>
      <c r="E954" s="52">
        <f>D954+440.07</f>
        <v>-1305.93</v>
      </c>
      <c r="F954" s="52">
        <v>-1151.43</v>
      </c>
      <c r="G954" s="52">
        <f t="shared" si="470"/>
        <v>154.5</v>
      </c>
      <c r="I954" s="2"/>
    </row>
    <row r="955" spans="1:9" s="14" customFormat="1" x14ac:dyDescent="0.25">
      <c r="A955" s="51"/>
      <c r="B955" s="51"/>
      <c r="C955" s="51" t="s">
        <v>80</v>
      </c>
      <c r="D955" s="54">
        <f>SUM(D956:D956)</f>
        <v>-1500000</v>
      </c>
      <c r="E955" s="54">
        <f t="shared" ref="E955:F955" si="471">SUM(E956:E956)</f>
        <v>-1500000</v>
      </c>
      <c r="F955" s="54">
        <f t="shared" si="471"/>
        <v>-732000</v>
      </c>
      <c r="G955" s="54">
        <f>F955-E955</f>
        <v>768000</v>
      </c>
      <c r="H955" s="9"/>
      <c r="I955" s="2"/>
    </row>
    <row r="956" spans="1:9" x14ac:dyDescent="0.25">
      <c r="A956" s="28"/>
      <c r="B956" s="28"/>
      <c r="C956" s="28" t="s">
        <v>94</v>
      </c>
      <c r="D956" s="52">
        <f>D957</f>
        <v>-1500000</v>
      </c>
      <c r="E956" s="52">
        <f t="shared" ref="E956:E957" si="472">D956</f>
        <v>-1500000</v>
      </c>
      <c r="F956" s="52">
        <v>-732000</v>
      </c>
      <c r="G956" s="52">
        <f t="shared" ref="G956:G961" si="473">F956-E956</f>
        <v>768000</v>
      </c>
      <c r="I956" s="2"/>
    </row>
    <row r="957" spans="1:9" s="24" customFormat="1" x14ac:dyDescent="0.25">
      <c r="A957" s="57"/>
      <c r="B957" s="57"/>
      <c r="C957" s="57" t="s">
        <v>142</v>
      </c>
      <c r="D957" s="62">
        <v>-1500000</v>
      </c>
      <c r="E957" s="62">
        <f t="shared" si="472"/>
        <v>-1500000</v>
      </c>
      <c r="F957" s="62">
        <v>-732000</v>
      </c>
      <c r="G957" s="62">
        <f t="shared" si="473"/>
        <v>768000</v>
      </c>
      <c r="H957" s="25"/>
      <c r="I957" s="2"/>
    </row>
    <row r="958" spans="1:9" s="24" customFormat="1" x14ac:dyDescent="0.25">
      <c r="A958" s="57"/>
      <c r="B958" s="57"/>
      <c r="C958" s="51" t="s">
        <v>82</v>
      </c>
      <c r="D958" s="52">
        <f>SUM(D959:D960)</f>
        <v>0</v>
      </c>
      <c r="E958" s="52">
        <f>SUM(E959:E960)</f>
        <v>-261.07000000000005</v>
      </c>
      <c r="F958" s="52">
        <f>SUM(F959:F960)</f>
        <v>-61.05</v>
      </c>
      <c r="G958" s="52">
        <f t="shared" si="473"/>
        <v>200.02000000000004</v>
      </c>
      <c r="H958" s="25"/>
      <c r="I958" s="2"/>
    </row>
    <row r="959" spans="1:9" s="24" customFormat="1" x14ac:dyDescent="0.25">
      <c r="A959" s="57"/>
      <c r="B959" s="57"/>
      <c r="C959" s="28" t="s">
        <v>89</v>
      </c>
      <c r="D959" s="52">
        <v>0</v>
      </c>
      <c r="E959" s="52">
        <v>-131.08000000000001</v>
      </c>
      <c r="F959" s="52">
        <v>-31.07</v>
      </c>
      <c r="G959" s="52">
        <f t="shared" si="473"/>
        <v>100.01000000000002</v>
      </c>
      <c r="H959" s="25"/>
      <c r="I959" s="2"/>
    </row>
    <row r="960" spans="1:9" s="24" customFormat="1" x14ac:dyDescent="0.25">
      <c r="A960" s="57"/>
      <c r="B960" s="57"/>
      <c r="C960" s="28" t="s">
        <v>90</v>
      </c>
      <c r="D960" s="52">
        <v>0</v>
      </c>
      <c r="E960" s="52">
        <v>-129.99</v>
      </c>
      <c r="F960" s="52">
        <v>-29.98</v>
      </c>
      <c r="G960" s="62">
        <f t="shared" si="473"/>
        <v>100.01</v>
      </c>
      <c r="H960" s="25"/>
      <c r="I960" s="2"/>
    </row>
    <row r="961" spans="1:9" s="24" customFormat="1" x14ac:dyDescent="0.25">
      <c r="A961" s="57"/>
      <c r="B961" s="57"/>
      <c r="C961" s="51" t="s">
        <v>85</v>
      </c>
      <c r="D961" s="52">
        <v>0</v>
      </c>
      <c r="E961" s="52">
        <v>0</v>
      </c>
      <c r="F961" s="52">
        <v>-0.61</v>
      </c>
      <c r="G961" s="52">
        <f t="shared" si="473"/>
        <v>-0.61</v>
      </c>
      <c r="H961" s="25"/>
      <c r="I961" s="2"/>
    </row>
    <row r="962" spans="1:9" x14ac:dyDescent="0.25">
      <c r="A962" s="51"/>
      <c r="B962" s="51" t="s">
        <v>88</v>
      </c>
      <c r="C962" s="51"/>
      <c r="D962" s="54">
        <f>SUM(D963:D965)</f>
        <v>-970</v>
      </c>
      <c r="E962" s="54">
        <f>SUM(E963:E965)</f>
        <v>-1118.46</v>
      </c>
      <c r="F962" s="54">
        <f>SUM(F963:F965)</f>
        <v>-1069.81</v>
      </c>
      <c r="G962" s="54">
        <f>F962-E962</f>
        <v>48.650000000000091</v>
      </c>
      <c r="I962" s="2"/>
    </row>
    <row r="963" spans="1:9" x14ac:dyDescent="0.25">
      <c r="A963" s="28"/>
      <c r="B963" s="28"/>
      <c r="C963" s="28" t="s">
        <v>89</v>
      </c>
      <c r="D963" s="53">
        <f>D967</f>
        <v>-372</v>
      </c>
      <c r="E963" s="53">
        <f t="shared" ref="E963:F963" si="474">E967</f>
        <v>-392.31</v>
      </c>
      <c r="F963" s="53">
        <f t="shared" si="474"/>
        <v>-388.16</v>
      </c>
      <c r="G963" s="53">
        <f t="shared" ref="G963:G965" si="475">F963-E963</f>
        <v>4.1499999999999773</v>
      </c>
      <c r="I963" s="2"/>
    </row>
    <row r="964" spans="1:9" x14ac:dyDescent="0.25">
      <c r="A964" s="28"/>
      <c r="B964" s="28"/>
      <c r="C964" s="28" t="s">
        <v>90</v>
      </c>
      <c r="D964" s="53">
        <f>D968</f>
        <v>-512</v>
      </c>
      <c r="E964" s="53">
        <f t="shared" ref="E964:F964" si="476">E968</f>
        <v>-657.51</v>
      </c>
      <c r="F964" s="53">
        <f t="shared" si="476"/>
        <v>-561.52</v>
      </c>
      <c r="G964" s="53">
        <f t="shared" si="475"/>
        <v>95.990000000000009</v>
      </c>
      <c r="I964" s="2"/>
    </row>
    <row r="965" spans="1:9" x14ac:dyDescent="0.25">
      <c r="A965" s="28"/>
      <c r="B965" s="28"/>
      <c r="C965" s="28" t="s">
        <v>91</v>
      </c>
      <c r="D965" s="53">
        <f>D969</f>
        <v>-86</v>
      </c>
      <c r="E965" s="53">
        <f t="shared" ref="E965:F965" si="477">E969</f>
        <v>-68.64</v>
      </c>
      <c r="F965" s="53">
        <f t="shared" si="477"/>
        <v>-120.13</v>
      </c>
      <c r="G965" s="53">
        <f t="shared" si="475"/>
        <v>-51.489999999999995</v>
      </c>
      <c r="I965" s="2"/>
    </row>
    <row r="966" spans="1:9" x14ac:dyDescent="0.25">
      <c r="A966" s="51"/>
      <c r="B966" s="51"/>
      <c r="C966" s="51" t="s">
        <v>79</v>
      </c>
      <c r="D966" s="55">
        <f>SUM(D967:D968)</f>
        <v>-884</v>
      </c>
      <c r="E966" s="55">
        <f>SUM(E967:E968)</f>
        <v>-1049.82</v>
      </c>
      <c r="F966" s="55">
        <f>SUM(F967:F968)</f>
        <v>-949.68000000000006</v>
      </c>
      <c r="G966" s="55">
        <f>F966-E966</f>
        <v>100.13999999999987</v>
      </c>
      <c r="I966" s="2"/>
    </row>
    <row r="967" spans="1:9" x14ac:dyDescent="0.25">
      <c r="A967" s="28"/>
      <c r="B967" s="28"/>
      <c r="C967" s="28" t="s">
        <v>89</v>
      </c>
      <c r="D967" s="53">
        <v>-372</v>
      </c>
      <c r="E967" s="53">
        <f>D967-20.31</f>
        <v>-392.31</v>
      </c>
      <c r="F967" s="53">
        <v>-388.16</v>
      </c>
      <c r="G967" s="53">
        <f t="shared" ref="G967:G968" si="478">F967-E967</f>
        <v>4.1499999999999773</v>
      </c>
      <c r="I967" s="2"/>
    </row>
    <row r="968" spans="1:9" x14ac:dyDescent="0.25">
      <c r="A968" s="28"/>
      <c r="B968" s="28"/>
      <c r="C968" s="28" t="s">
        <v>90</v>
      </c>
      <c r="D968" s="53">
        <v>-512</v>
      </c>
      <c r="E968" s="53">
        <f>D968-145.51</f>
        <v>-657.51</v>
      </c>
      <c r="F968" s="53">
        <v>-561.52</v>
      </c>
      <c r="G968" s="53">
        <f t="shared" si="478"/>
        <v>95.990000000000009</v>
      </c>
      <c r="I968" s="2"/>
    </row>
    <row r="969" spans="1:9" s="14" customFormat="1" x14ac:dyDescent="0.25">
      <c r="A969" s="51"/>
      <c r="B969" s="51"/>
      <c r="C969" s="51" t="s">
        <v>85</v>
      </c>
      <c r="D969" s="55">
        <v>-86</v>
      </c>
      <c r="E969" s="55">
        <f>D969+17.36</f>
        <v>-68.64</v>
      </c>
      <c r="F969" s="55">
        <v>-120.13</v>
      </c>
      <c r="G969" s="55">
        <f t="shared" ref="G969" si="479">F969-E969</f>
        <v>-51.489999999999995</v>
      </c>
      <c r="H969" s="9"/>
      <c r="I969" s="2"/>
    </row>
    <row r="970" spans="1:9" s="14" customFormat="1" ht="15.75" x14ac:dyDescent="0.25">
      <c r="A970" s="39" t="s">
        <v>143</v>
      </c>
      <c r="B970" s="51"/>
      <c r="C970" s="51"/>
      <c r="D970" s="54">
        <f>SUM(D971:D975)</f>
        <v>-23168000</v>
      </c>
      <c r="E970" s="54">
        <f t="shared" ref="E970:F970" si="480">SUM(E971:E975)</f>
        <v>-18654778.84</v>
      </c>
      <c r="F970" s="54">
        <f t="shared" si="480"/>
        <v>-17201243.360000003</v>
      </c>
      <c r="G970" s="54">
        <f t="shared" ref="G970:G976" si="481">F970-E970</f>
        <v>1453535.4799999967</v>
      </c>
      <c r="H970" s="9"/>
      <c r="I970" s="2"/>
    </row>
    <row r="971" spans="1:9" x14ac:dyDescent="0.25">
      <c r="A971" s="28"/>
      <c r="B971" s="28" t="s">
        <v>79</v>
      </c>
      <c r="C971" s="28"/>
      <c r="D971" s="52">
        <f>D982+D999+D1016</f>
        <v>-7682236</v>
      </c>
      <c r="E971" s="52">
        <f t="shared" ref="E971:F971" si="482">E982+E999+E1016</f>
        <v>-12448810.35</v>
      </c>
      <c r="F971" s="52">
        <f t="shared" si="482"/>
        <v>-11450240.300000001</v>
      </c>
      <c r="G971" s="52">
        <f t="shared" si="481"/>
        <v>998570.04999999888</v>
      </c>
      <c r="I971" s="2"/>
    </row>
    <row r="972" spans="1:9" x14ac:dyDescent="0.25">
      <c r="A972" s="28"/>
      <c r="B972" s="28" t="s">
        <v>80</v>
      </c>
      <c r="C972" s="28"/>
      <c r="D972" s="52">
        <f>D1019</f>
        <v>0</v>
      </c>
      <c r="E972" s="52">
        <f>E1019</f>
        <v>0</v>
      </c>
      <c r="F972" s="52">
        <f>F1019</f>
        <v>-2.61</v>
      </c>
      <c r="G972" s="52">
        <f t="shared" si="481"/>
        <v>-2.61</v>
      </c>
      <c r="I972" s="2"/>
    </row>
    <row r="973" spans="1:9" x14ac:dyDescent="0.25">
      <c r="A973" s="28"/>
      <c r="B973" s="28" t="s">
        <v>81</v>
      </c>
      <c r="C973" s="28"/>
      <c r="D973" s="52">
        <f>D984+D1005+D1021</f>
        <v>-14629840</v>
      </c>
      <c r="E973" s="52">
        <f>E984+E1005+E1021</f>
        <v>-5343618.3499999987</v>
      </c>
      <c r="F973" s="52">
        <f>F984+F1005+F1021</f>
        <v>-5265613.4400000004</v>
      </c>
      <c r="G973" s="52">
        <f t="shared" si="481"/>
        <v>78004.909999998286</v>
      </c>
      <c r="I973" s="2"/>
    </row>
    <row r="974" spans="1:9" x14ac:dyDescent="0.25">
      <c r="A974" s="28"/>
      <c r="B974" s="28" t="s">
        <v>82</v>
      </c>
      <c r="C974" s="28"/>
      <c r="D974" s="52">
        <f>D990+D1008</f>
        <v>-805527</v>
      </c>
      <c r="E974" s="52">
        <f>E990+E1008</f>
        <v>-810405.14</v>
      </c>
      <c r="F974" s="52">
        <f>F990+F1008</f>
        <v>-443978.46</v>
      </c>
      <c r="G974" s="52">
        <f t="shared" si="481"/>
        <v>366426.68</v>
      </c>
      <c r="I974" s="2"/>
    </row>
    <row r="975" spans="1:9" x14ac:dyDescent="0.25">
      <c r="A975" s="28"/>
      <c r="B975" s="28" t="s">
        <v>85</v>
      </c>
      <c r="C975" s="28"/>
      <c r="D975" s="52">
        <f>D1011+D1023</f>
        <v>-50397</v>
      </c>
      <c r="E975" s="52">
        <f t="shared" ref="E975:F975" si="483">E1011+E1023</f>
        <v>-51945</v>
      </c>
      <c r="F975" s="52">
        <f t="shared" si="483"/>
        <v>-41408.550000000003</v>
      </c>
      <c r="G975" s="52">
        <f t="shared" si="481"/>
        <v>10536.449999999997</v>
      </c>
      <c r="I975" s="2"/>
    </row>
    <row r="976" spans="1:9" x14ac:dyDescent="0.25">
      <c r="A976" s="51"/>
      <c r="B976" s="51" t="s">
        <v>99</v>
      </c>
      <c r="C976" s="51"/>
      <c r="D976" s="54">
        <f>SUM(D977:D981)</f>
        <v>-20787267</v>
      </c>
      <c r="E976" s="54">
        <f>SUM(E977:E981)</f>
        <v>-11442498.059999999</v>
      </c>
      <c r="F976" s="54">
        <f>SUM(F977:F981)</f>
        <v>-10874278.75</v>
      </c>
      <c r="G976" s="54">
        <f t="shared" si="481"/>
        <v>568219.30999999866</v>
      </c>
      <c r="I976" s="2"/>
    </row>
    <row r="977" spans="1:9" x14ac:dyDescent="0.25">
      <c r="A977" s="28"/>
      <c r="B977" s="28"/>
      <c r="C977" s="28" t="s">
        <v>89</v>
      </c>
      <c r="D977" s="52">
        <f>D985</f>
        <v>-21675</v>
      </c>
      <c r="E977" s="52">
        <f t="shared" ref="E977:F977" si="484">E985</f>
        <v>-32388.83</v>
      </c>
      <c r="F977" s="52">
        <f t="shared" si="484"/>
        <v>-25420.560000000001</v>
      </c>
      <c r="G977" s="52">
        <f t="shared" ref="G977" si="485">F977-E977</f>
        <v>6968.27</v>
      </c>
      <c r="I977" s="2"/>
    </row>
    <row r="978" spans="1:9" x14ac:dyDescent="0.25">
      <c r="A978" s="28"/>
      <c r="B978" s="28"/>
      <c r="C978" s="28" t="s">
        <v>90</v>
      </c>
      <c r="D978" s="52">
        <f>D986</f>
        <v>-36280</v>
      </c>
      <c r="E978" s="52">
        <f t="shared" ref="E978:F978" si="486">E986</f>
        <v>-8122.7999999999993</v>
      </c>
      <c r="F978" s="52">
        <f t="shared" si="486"/>
        <v>-2999.99</v>
      </c>
      <c r="G978" s="52">
        <f t="shared" ref="G978:G981" si="487">F978-E978</f>
        <v>5122.8099999999995</v>
      </c>
      <c r="I978" s="2"/>
    </row>
    <row r="979" spans="1:9" x14ac:dyDescent="0.25">
      <c r="A979" s="28"/>
      <c r="B979" s="28"/>
      <c r="C979" s="28" t="s">
        <v>111</v>
      </c>
      <c r="D979" s="52">
        <f>D987+D991</f>
        <v>-14571885</v>
      </c>
      <c r="E979" s="52">
        <f>E987+E991</f>
        <v>-4844060.1099999994</v>
      </c>
      <c r="F979" s="52">
        <f>F987+F991</f>
        <v>-4480033.43</v>
      </c>
      <c r="G979" s="52">
        <f t="shared" ref="G979" si="488">F979-E979</f>
        <v>364026.6799999997</v>
      </c>
      <c r="I979" s="2"/>
    </row>
    <row r="980" spans="1:9" x14ac:dyDescent="0.25">
      <c r="A980" s="28"/>
      <c r="B980" s="28"/>
      <c r="C980" s="28" t="s">
        <v>100</v>
      </c>
      <c r="D980" s="52">
        <f>D983+D988+D992</f>
        <v>-6157427</v>
      </c>
      <c r="E980" s="52">
        <f>E983+E992+E988</f>
        <v>-6557926.3200000003</v>
      </c>
      <c r="F980" s="52">
        <f>F983+F992+F988+F992</f>
        <v>-5357052.03</v>
      </c>
      <c r="G980" s="52">
        <f t="shared" si="487"/>
        <v>1200874.29</v>
      </c>
      <c r="I980" s="2"/>
    </row>
    <row r="981" spans="1:9" x14ac:dyDescent="0.25">
      <c r="A981" s="28"/>
      <c r="B981" s="28"/>
      <c r="C981" s="28" t="s">
        <v>95</v>
      </c>
      <c r="D981" s="52">
        <f>D989</f>
        <v>0</v>
      </c>
      <c r="E981" s="52">
        <f>E989</f>
        <v>0</v>
      </c>
      <c r="F981" s="52">
        <f>F989</f>
        <v>-1008772.74</v>
      </c>
      <c r="G981" s="52">
        <f t="shared" si="487"/>
        <v>-1008772.74</v>
      </c>
      <c r="I981" s="2"/>
    </row>
    <row r="982" spans="1:9" x14ac:dyDescent="0.25">
      <c r="A982" s="51"/>
      <c r="B982" s="51"/>
      <c r="C982" s="51" t="s">
        <v>79</v>
      </c>
      <c r="D982" s="54">
        <f>SUM(D983:D983)</f>
        <v>-5351900</v>
      </c>
      <c r="E982" s="54">
        <f>SUM(E983:E983)</f>
        <v>-5388751.9400000004</v>
      </c>
      <c r="F982" s="54">
        <f>SUM(F983:F983)</f>
        <v>-5213810.32</v>
      </c>
      <c r="G982" s="54">
        <f>F982-E982</f>
        <v>174941.62000000011</v>
      </c>
      <c r="I982" s="2"/>
    </row>
    <row r="983" spans="1:9" x14ac:dyDescent="0.25">
      <c r="A983" s="28"/>
      <c r="B983" s="28"/>
      <c r="C983" s="28" t="s">
        <v>100</v>
      </c>
      <c r="D983" s="52">
        <v>-5351900</v>
      </c>
      <c r="E983" s="52">
        <f>D983-36851.94</f>
        <v>-5388751.9400000004</v>
      </c>
      <c r="F983" s="52">
        <v>-5213810.32</v>
      </c>
      <c r="G983" s="52">
        <f t="shared" ref="G983" si="489">F983-E983</f>
        <v>174941.62000000011</v>
      </c>
      <c r="I983" s="2"/>
    </row>
    <row r="984" spans="1:9" s="14" customFormat="1" x14ac:dyDescent="0.25">
      <c r="A984" s="51"/>
      <c r="B984" s="51"/>
      <c r="C984" s="51" t="s">
        <v>81</v>
      </c>
      <c r="D984" s="54">
        <f>SUM(D985:D989)</f>
        <v>-14629840</v>
      </c>
      <c r="E984" s="54">
        <f>SUM(E985:E989)</f>
        <v>-5248219.1199999992</v>
      </c>
      <c r="F984" s="54">
        <f>SUM(F985:F989)</f>
        <v>-5218968.1100000003</v>
      </c>
      <c r="G984" s="54">
        <f>F984-E984</f>
        <v>29251.009999998845</v>
      </c>
      <c r="H984" s="9"/>
      <c r="I984" s="2"/>
    </row>
    <row r="985" spans="1:9" x14ac:dyDescent="0.25">
      <c r="A985" s="28"/>
      <c r="B985" s="28"/>
      <c r="C985" s="28" t="s">
        <v>89</v>
      </c>
      <c r="D985" s="52">
        <v>-21675</v>
      </c>
      <c r="E985" s="52">
        <f>D985-10713.83</f>
        <v>-32388.83</v>
      </c>
      <c r="F985" s="52">
        <v>-25420.560000000001</v>
      </c>
      <c r="G985" s="52">
        <f t="shared" ref="G985:G986" si="490">F985-E985</f>
        <v>6968.27</v>
      </c>
      <c r="I985" s="2"/>
    </row>
    <row r="986" spans="1:9" x14ac:dyDescent="0.25">
      <c r="A986" s="28"/>
      <c r="B986" s="28"/>
      <c r="C986" s="28" t="s">
        <v>90</v>
      </c>
      <c r="D986" s="52">
        <v>-36280</v>
      </c>
      <c r="E986" s="52">
        <f>D986+28157.2</f>
        <v>-8122.7999999999993</v>
      </c>
      <c r="F986" s="52">
        <v>-2999.99</v>
      </c>
      <c r="G986" s="52">
        <f t="shared" si="490"/>
        <v>5122.8099999999995</v>
      </c>
      <c r="I986" s="2"/>
    </row>
    <row r="987" spans="1:9" x14ac:dyDescent="0.25">
      <c r="A987" s="28"/>
      <c r="B987" s="28"/>
      <c r="C987" s="28" t="s">
        <v>111</v>
      </c>
      <c r="D987" s="52">
        <f>-1716645-12855240</f>
        <v>-14571885</v>
      </c>
      <c r="E987" s="52">
        <f>D987+10533351.89</f>
        <v>-4038533.1099999994</v>
      </c>
      <c r="F987" s="52">
        <v>-4038533.11</v>
      </c>
      <c r="G987" s="52">
        <f t="shared" ref="G987:G989" si="491">F987-E987</f>
        <v>0</v>
      </c>
      <c r="I987" s="2"/>
    </row>
    <row r="988" spans="1:9" x14ac:dyDescent="0.25">
      <c r="A988" s="28"/>
      <c r="B988" s="28"/>
      <c r="C988" s="28" t="s">
        <v>100</v>
      </c>
      <c r="D988" s="52">
        <v>0</v>
      </c>
      <c r="E988" s="52">
        <v>-1169174.3799999999</v>
      </c>
      <c r="F988" s="52">
        <v>-143241.71</v>
      </c>
      <c r="G988" s="52">
        <f t="shared" si="491"/>
        <v>1025932.6699999999</v>
      </c>
      <c r="I988" s="2"/>
    </row>
    <row r="989" spans="1:9" x14ac:dyDescent="0.25">
      <c r="A989" s="28"/>
      <c r="B989" s="28"/>
      <c r="C989" s="28" t="s">
        <v>95</v>
      </c>
      <c r="D989" s="52">
        <v>0</v>
      </c>
      <c r="E989" s="52">
        <v>0</v>
      </c>
      <c r="F989" s="52">
        <v>-1008772.74</v>
      </c>
      <c r="G989" s="52">
        <f t="shared" si="491"/>
        <v>-1008772.74</v>
      </c>
      <c r="I989" s="2"/>
    </row>
    <row r="990" spans="1:9" s="14" customFormat="1" x14ac:dyDescent="0.25">
      <c r="A990" s="51"/>
      <c r="B990" s="51"/>
      <c r="C990" s="51" t="s">
        <v>82</v>
      </c>
      <c r="D990" s="54">
        <f>SUM(D991:D992)</f>
        <v>-805527</v>
      </c>
      <c r="E990" s="54">
        <f>SUM(E991:E992)</f>
        <v>-805527</v>
      </c>
      <c r="F990" s="54">
        <f>SUM(F991:F992)</f>
        <v>-441500.32</v>
      </c>
      <c r="G990" s="54">
        <f>F990-E990</f>
        <v>364026.68</v>
      </c>
      <c r="H990" s="9"/>
      <c r="I990" s="2"/>
    </row>
    <row r="991" spans="1:9" s="14" customFormat="1" x14ac:dyDescent="0.25">
      <c r="A991" s="51"/>
      <c r="B991" s="51"/>
      <c r="C991" s="28" t="s">
        <v>111</v>
      </c>
      <c r="D991" s="52">
        <v>0</v>
      </c>
      <c r="E991" s="52">
        <v>-805527</v>
      </c>
      <c r="F991" s="54">
        <v>-441500.32</v>
      </c>
      <c r="G991" s="54">
        <f>F991-E991</f>
        <v>364026.68</v>
      </c>
      <c r="H991" s="9"/>
      <c r="I991" s="2"/>
    </row>
    <row r="992" spans="1:9" x14ac:dyDescent="0.25">
      <c r="A992" s="28"/>
      <c r="B992" s="28"/>
      <c r="C992" s="28" t="s">
        <v>100</v>
      </c>
      <c r="D992" s="52">
        <v>-805527</v>
      </c>
      <c r="E992" s="52">
        <f>D992+805527</f>
        <v>0</v>
      </c>
      <c r="F992" s="52">
        <v>0</v>
      </c>
      <c r="G992" s="52">
        <f t="shared" ref="G992" si="492">F992-E992</f>
        <v>0</v>
      </c>
      <c r="I992" s="2"/>
    </row>
    <row r="993" spans="1:9" x14ac:dyDescent="0.25">
      <c r="A993" s="51"/>
      <c r="B993" s="51" t="s">
        <v>129</v>
      </c>
      <c r="C993" s="51"/>
      <c r="D993" s="54">
        <f>SUM(D994:D998)</f>
        <v>-2206131</v>
      </c>
      <c r="E993" s="54">
        <f t="shared" ref="E993:F993" si="493">SUM(E994:E998)</f>
        <v>-7000431.7300000004</v>
      </c>
      <c r="F993" s="54">
        <f t="shared" si="493"/>
        <v>-6146346.3400000008</v>
      </c>
      <c r="G993" s="54">
        <f>F993-E993</f>
        <v>854085.38999999966</v>
      </c>
      <c r="I993" s="2"/>
    </row>
    <row r="994" spans="1:9" x14ac:dyDescent="0.25">
      <c r="A994" s="28"/>
      <c r="B994" s="28"/>
      <c r="C994" s="28" t="s">
        <v>89</v>
      </c>
      <c r="D994" s="52">
        <f>D1000+D1006+D1009</f>
        <v>-586114</v>
      </c>
      <c r="E994" s="52">
        <f>E1000+E1009+E1006</f>
        <v>-873042.69</v>
      </c>
      <c r="F994" s="52">
        <f>F1000+F1006+F1009</f>
        <v>-824989.99</v>
      </c>
      <c r="G994" s="52">
        <f t="shared" ref="G994:G997" si="494">F994-E994</f>
        <v>48052.699999999953</v>
      </c>
      <c r="I994" s="2"/>
    </row>
    <row r="995" spans="1:9" x14ac:dyDescent="0.25">
      <c r="A995" s="28"/>
      <c r="B995" s="28"/>
      <c r="C995" s="28" t="s">
        <v>90</v>
      </c>
      <c r="D995" s="52">
        <f>D1001+D1007+D1010</f>
        <v>-135144</v>
      </c>
      <c r="E995" s="52">
        <f>E1001+E1010+E1007</f>
        <v>-553539.39999999991</v>
      </c>
      <c r="F995" s="52">
        <f>F1001+F1007+F1010</f>
        <v>-407985.72000000003</v>
      </c>
      <c r="G995" s="52">
        <f t="shared" si="494"/>
        <v>145553.67999999988</v>
      </c>
      <c r="I995" s="2"/>
    </row>
    <row r="996" spans="1:9" x14ac:dyDescent="0.25">
      <c r="A996" s="28"/>
      <c r="B996" s="28"/>
      <c r="C996" s="28" t="s">
        <v>111</v>
      </c>
      <c r="D996" s="52">
        <f>D1002</f>
        <v>0</v>
      </c>
      <c r="E996" s="52">
        <f>E1002</f>
        <v>-2004102.99</v>
      </c>
      <c r="F996" s="52">
        <f>F1002</f>
        <v>-1876990.4</v>
      </c>
      <c r="G996" s="52">
        <f t="shared" si="494"/>
        <v>127112.59000000008</v>
      </c>
      <c r="I996" s="2"/>
    </row>
    <row r="997" spans="1:9" x14ac:dyDescent="0.25">
      <c r="A997" s="28"/>
      <c r="B997" s="28"/>
      <c r="C997" s="28" t="s">
        <v>100</v>
      </c>
      <c r="D997" s="52">
        <f>D1003</f>
        <v>-1478492</v>
      </c>
      <c r="E997" s="52">
        <f t="shared" ref="E997:F997" si="495">E1003</f>
        <v>-3529527.66</v>
      </c>
      <c r="F997" s="52">
        <f t="shared" si="495"/>
        <v>-2992266.79</v>
      </c>
      <c r="G997" s="52">
        <f t="shared" si="494"/>
        <v>537260.87000000011</v>
      </c>
      <c r="I997" s="2"/>
    </row>
    <row r="998" spans="1:9" x14ac:dyDescent="0.25">
      <c r="A998" s="28"/>
      <c r="B998" s="28"/>
      <c r="C998" s="28" t="s">
        <v>91</v>
      </c>
      <c r="D998" s="52">
        <f>D1011+D1004</f>
        <v>-6381</v>
      </c>
      <c r="E998" s="52">
        <f>E1011+E1004</f>
        <v>-40218.99</v>
      </c>
      <c r="F998" s="52">
        <f>F1011+F1004</f>
        <v>-44113.440000000002</v>
      </c>
      <c r="G998" s="52">
        <f t="shared" ref="G998" si="496">F998-E998</f>
        <v>-3894.4500000000044</v>
      </c>
      <c r="I998" s="2"/>
    </row>
    <row r="999" spans="1:9" x14ac:dyDescent="0.25">
      <c r="A999" s="51"/>
      <c r="B999" s="51"/>
      <c r="C999" s="51" t="s">
        <v>79</v>
      </c>
      <c r="D999" s="54">
        <f>SUM(D1000:D1004)</f>
        <v>-2199750</v>
      </c>
      <c r="E999" s="54">
        <f>SUM(E1000:E1004)</f>
        <v>-6897232.21</v>
      </c>
      <c r="F999" s="54">
        <f>SUM(F1000:F1004)</f>
        <v>-6090406.2700000005</v>
      </c>
      <c r="G999" s="54">
        <f>F999-E999</f>
        <v>806825.93999999948</v>
      </c>
      <c r="I999" s="2"/>
    </row>
    <row r="1000" spans="1:9" x14ac:dyDescent="0.25">
      <c r="A1000" s="28"/>
      <c r="B1000" s="28"/>
      <c r="C1000" s="28" t="s">
        <v>89</v>
      </c>
      <c r="D1000" s="52">
        <v>-586114</v>
      </c>
      <c r="E1000" s="52">
        <f>D1000-211932.72</f>
        <v>-798046.71999999997</v>
      </c>
      <c r="F1000" s="52">
        <v>-783136</v>
      </c>
      <c r="G1000" s="52">
        <f t="shared" ref="G1000:G1010" si="497">F1000-E1000</f>
        <v>14910.719999999972</v>
      </c>
      <c r="I1000" s="2"/>
    </row>
    <row r="1001" spans="1:9" x14ac:dyDescent="0.25">
      <c r="A1001" s="28"/>
      <c r="B1001" s="28"/>
      <c r="C1001" s="28" t="s">
        <v>90</v>
      </c>
      <c r="D1001" s="52">
        <v>-135144</v>
      </c>
      <c r="E1001" s="52">
        <f>D1001-396572.85</f>
        <v>-531716.85</v>
      </c>
      <c r="F1001" s="52">
        <v>-404175.09</v>
      </c>
      <c r="G1001" s="52">
        <f t="shared" si="497"/>
        <v>127541.75999999995</v>
      </c>
      <c r="I1001" s="2"/>
    </row>
    <row r="1002" spans="1:9" x14ac:dyDescent="0.25">
      <c r="A1002" s="28"/>
      <c r="B1002" s="28"/>
      <c r="C1002" s="28" t="s">
        <v>111</v>
      </c>
      <c r="D1002" s="52">
        <v>0</v>
      </c>
      <c r="E1002" s="52">
        <v>-2004102.99</v>
      </c>
      <c r="F1002" s="52">
        <v>-1876990.4</v>
      </c>
      <c r="G1002" s="52">
        <f t="shared" si="497"/>
        <v>127112.59000000008</v>
      </c>
      <c r="I1002" s="2"/>
    </row>
    <row r="1003" spans="1:9" x14ac:dyDescent="0.25">
      <c r="A1003" s="28"/>
      <c r="B1003" s="28"/>
      <c r="C1003" s="28" t="s">
        <v>100</v>
      </c>
      <c r="D1003" s="52">
        <v>-1478492</v>
      </c>
      <c r="E1003" s="52">
        <f>D1003-2051035.66</f>
        <v>-3529527.66</v>
      </c>
      <c r="F1003" s="52">
        <v>-2992266.79</v>
      </c>
      <c r="G1003" s="52">
        <f t="shared" si="497"/>
        <v>537260.87000000011</v>
      </c>
      <c r="I1003" s="2"/>
    </row>
    <row r="1004" spans="1:9" x14ac:dyDescent="0.25">
      <c r="A1004" s="28"/>
      <c r="B1004" s="28"/>
      <c r="C1004" s="28" t="s">
        <v>95</v>
      </c>
      <c r="D1004" s="52">
        <v>0</v>
      </c>
      <c r="E1004" s="52">
        <v>-33837.99</v>
      </c>
      <c r="F1004" s="52">
        <v>-33837.99</v>
      </c>
      <c r="G1004" s="52">
        <f t="shared" si="497"/>
        <v>0</v>
      </c>
      <c r="I1004" s="2"/>
    </row>
    <row r="1005" spans="1:9" x14ac:dyDescent="0.25">
      <c r="A1005" s="28"/>
      <c r="B1005" s="28"/>
      <c r="C1005" s="51" t="s">
        <v>81</v>
      </c>
      <c r="D1005" s="52">
        <f>SUM(D1006:D1007)</f>
        <v>0</v>
      </c>
      <c r="E1005" s="52">
        <f>SUM(E1006:E1007)</f>
        <v>-91940.38</v>
      </c>
      <c r="F1005" s="52">
        <f>SUM(F1006:F1007)</f>
        <v>-43186.479999999996</v>
      </c>
      <c r="G1005" s="52">
        <f t="shared" si="497"/>
        <v>48753.900000000009</v>
      </c>
      <c r="I1005" s="2"/>
    </row>
    <row r="1006" spans="1:9" x14ac:dyDescent="0.25">
      <c r="A1006" s="28"/>
      <c r="B1006" s="28"/>
      <c r="C1006" s="28" t="s">
        <v>89</v>
      </c>
      <c r="D1006" s="52">
        <v>0</v>
      </c>
      <c r="E1006" s="52">
        <v>-73479.69</v>
      </c>
      <c r="F1006" s="52">
        <v>-41137.71</v>
      </c>
      <c r="G1006" s="52">
        <f t="shared" si="497"/>
        <v>32341.980000000003</v>
      </c>
      <c r="I1006" s="2"/>
    </row>
    <row r="1007" spans="1:9" x14ac:dyDescent="0.25">
      <c r="A1007" s="28"/>
      <c r="B1007" s="28"/>
      <c r="C1007" s="28" t="s">
        <v>90</v>
      </c>
      <c r="D1007" s="52"/>
      <c r="E1007" s="52">
        <v>-18460.689999999999</v>
      </c>
      <c r="F1007" s="52">
        <v>-2048.77</v>
      </c>
      <c r="G1007" s="52">
        <f t="shared" si="497"/>
        <v>16411.919999999998</v>
      </c>
      <c r="I1007" s="2"/>
    </row>
    <row r="1008" spans="1:9" x14ac:dyDescent="0.25">
      <c r="A1008" s="28"/>
      <c r="B1008" s="28"/>
      <c r="C1008" s="51" t="s">
        <v>82</v>
      </c>
      <c r="D1008" s="52">
        <f>SUM(D1009:D1010)</f>
        <v>0</v>
      </c>
      <c r="E1008" s="52">
        <f>SUM(E1009:E1010)</f>
        <v>-4878.1400000000003</v>
      </c>
      <c r="F1008" s="52">
        <f>SUM(F1009:F1010)</f>
        <v>-2478.14</v>
      </c>
      <c r="G1008" s="52">
        <f t="shared" si="497"/>
        <v>2400.0000000000005</v>
      </c>
      <c r="I1008" s="2"/>
    </row>
    <row r="1009" spans="1:9" x14ac:dyDescent="0.25">
      <c r="A1009" s="28"/>
      <c r="B1009" s="28"/>
      <c r="C1009" s="28" t="s">
        <v>89</v>
      </c>
      <c r="D1009" s="52">
        <v>0</v>
      </c>
      <c r="E1009" s="52">
        <v>-1516.28</v>
      </c>
      <c r="F1009" s="52">
        <v>-716.28</v>
      </c>
      <c r="G1009" s="52">
        <f t="shared" si="497"/>
        <v>800</v>
      </c>
      <c r="I1009" s="2"/>
    </row>
    <row r="1010" spans="1:9" x14ac:dyDescent="0.25">
      <c r="A1010" s="28"/>
      <c r="B1010" s="28"/>
      <c r="C1010" s="28" t="s">
        <v>90</v>
      </c>
      <c r="D1010" s="52">
        <v>0</v>
      </c>
      <c r="E1010" s="52">
        <v>-3361.86</v>
      </c>
      <c r="F1010" s="52">
        <v>-1761.86</v>
      </c>
      <c r="G1010" s="52">
        <f t="shared" si="497"/>
        <v>1600.0000000000002</v>
      </c>
      <c r="I1010" s="2"/>
    </row>
    <row r="1011" spans="1:9" s="14" customFormat="1" x14ac:dyDescent="0.25">
      <c r="A1011" s="51"/>
      <c r="B1011" s="51"/>
      <c r="C1011" s="51" t="s">
        <v>85</v>
      </c>
      <c r="D1011" s="54">
        <v>-6381</v>
      </c>
      <c r="E1011" s="54">
        <f>D1011</f>
        <v>-6381</v>
      </c>
      <c r="F1011" s="54">
        <v>-10275.450000000001</v>
      </c>
      <c r="G1011" s="54">
        <f>F1011-E1011</f>
        <v>-3894.4500000000007</v>
      </c>
      <c r="H1011" s="9"/>
      <c r="I1011" s="2"/>
    </row>
    <row r="1012" spans="1:9" x14ac:dyDescent="0.25">
      <c r="A1012" s="51"/>
      <c r="B1012" s="51" t="s">
        <v>88</v>
      </c>
      <c r="C1012" s="51"/>
      <c r="D1012" s="54">
        <f>SUM(D1013:D1015)</f>
        <v>-174602</v>
      </c>
      <c r="E1012" s="54">
        <f>SUM(E1013:E1015)</f>
        <v>-211849.05</v>
      </c>
      <c r="F1012" s="54">
        <f>SUM(F1013:F1015)</f>
        <v>-180618.27</v>
      </c>
      <c r="G1012" s="54">
        <f>F1012-E1012</f>
        <v>31230.78</v>
      </c>
      <c r="I1012" s="2"/>
    </row>
    <row r="1013" spans="1:9" x14ac:dyDescent="0.25">
      <c r="A1013" s="28"/>
      <c r="B1013" s="28"/>
      <c r="C1013" s="28" t="s">
        <v>89</v>
      </c>
      <c r="D1013" s="52">
        <f>D1017+D1022</f>
        <v>-69956</v>
      </c>
      <c r="E1013" s="52">
        <f>E1017+E1022</f>
        <v>-78946.05</v>
      </c>
      <c r="F1013" s="52">
        <f>F1017+F1022</f>
        <v>-73816.260000000009</v>
      </c>
      <c r="G1013" s="52">
        <f t="shared" ref="G1013:G1015" si="498">F1013-E1013</f>
        <v>5129.7899999999936</v>
      </c>
      <c r="I1013" s="2"/>
    </row>
    <row r="1014" spans="1:9" x14ac:dyDescent="0.25">
      <c r="A1014" s="28"/>
      <c r="B1014" s="28"/>
      <c r="C1014" s="28" t="s">
        <v>90</v>
      </c>
      <c r="D1014" s="52">
        <f>D1018</f>
        <v>-60630</v>
      </c>
      <c r="E1014" s="52">
        <f t="shared" ref="E1014:F1014" si="499">E1018</f>
        <v>-87339</v>
      </c>
      <c r="F1014" s="52">
        <f t="shared" si="499"/>
        <v>-75666.3</v>
      </c>
      <c r="G1014" s="52">
        <f t="shared" si="498"/>
        <v>11672.699999999997</v>
      </c>
      <c r="I1014" s="2"/>
    </row>
    <row r="1015" spans="1:9" x14ac:dyDescent="0.25">
      <c r="A1015" s="28"/>
      <c r="B1015" s="28"/>
      <c r="C1015" s="28" t="s">
        <v>91</v>
      </c>
      <c r="D1015" s="52">
        <f>D1023+D1020</f>
        <v>-44016</v>
      </c>
      <c r="E1015" s="52">
        <f>E1023+E1020</f>
        <v>-45564</v>
      </c>
      <c r="F1015" s="52">
        <f>F1023+F1020</f>
        <v>-31135.71</v>
      </c>
      <c r="G1015" s="52">
        <f t="shared" si="498"/>
        <v>14428.29</v>
      </c>
      <c r="I1015" s="2"/>
    </row>
    <row r="1016" spans="1:9" x14ac:dyDescent="0.25">
      <c r="A1016" s="51"/>
      <c r="B1016" s="51"/>
      <c r="C1016" s="51" t="s">
        <v>79</v>
      </c>
      <c r="D1016" s="54">
        <f>SUM(D1017:D1018)</f>
        <v>-130586</v>
      </c>
      <c r="E1016" s="54">
        <f>SUM(E1017:E1018)</f>
        <v>-162826.20000000001</v>
      </c>
      <c r="F1016" s="54">
        <f>SUM(F1017:F1018)</f>
        <v>-146023.71000000002</v>
      </c>
      <c r="G1016" s="54">
        <f>F1016-E1016</f>
        <v>16802.489999999991</v>
      </c>
      <c r="I1016" s="2"/>
    </row>
    <row r="1017" spans="1:9" x14ac:dyDescent="0.25">
      <c r="A1017" s="28"/>
      <c r="B1017" s="28"/>
      <c r="C1017" s="28" t="s">
        <v>89</v>
      </c>
      <c r="D1017" s="52">
        <v>-69956</v>
      </c>
      <c r="E1017" s="52">
        <f>D1017-5531.2</f>
        <v>-75487.199999999997</v>
      </c>
      <c r="F1017" s="52">
        <v>-70357.41</v>
      </c>
      <c r="G1017" s="52">
        <f t="shared" ref="G1017:G1023" si="500">F1017-E1017</f>
        <v>5129.7899999999936</v>
      </c>
      <c r="I1017" s="2"/>
    </row>
    <row r="1018" spans="1:9" x14ac:dyDescent="0.25">
      <c r="A1018" s="28"/>
      <c r="B1018" s="28"/>
      <c r="C1018" s="28" t="s">
        <v>90</v>
      </c>
      <c r="D1018" s="52">
        <v>-60630</v>
      </c>
      <c r="E1018" s="52">
        <f>D1018-26709</f>
        <v>-87339</v>
      </c>
      <c r="F1018" s="52">
        <v>-75666.3</v>
      </c>
      <c r="G1018" s="52">
        <f t="shared" si="500"/>
        <v>11672.699999999997</v>
      </c>
      <c r="I1018" s="2"/>
    </row>
    <row r="1019" spans="1:9" x14ac:dyDescent="0.25">
      <c r="A1019" s="28"/>
      <c r="B1019" s="28"/>
      <c r="C1019" s="59" t="s">
        <v>80</v>
      </c>
      <c r="D1019" s="52">
        <f>D1020</f>
        <v>0</v>
      </c>
      <c r="E1019" s="52">
        <f>E1020</f>
        <v>0</v>
      </c>
      <c r="F1019" s="52">
        <f>F1020</f>
        <v>-2.61</v>
      </c>
      <c r="G1019" s="52">
        <f t="shared" si="500"/>
        <v>-2.61</v>
      </c>
      <c r="I1019" s="2"/>
    </row>
    <row r="1020" spans="1:9" x14ac:dyDescent="0.25">
      <c r="A1020" s="28"/>
      <c r="B1020" s="28"/>
      <c r="C1020" s="56" t="s">
        <v>95</v>
      </c>
      <c r="D1020" s="52">
        <v>0</v>
      </c>
      <c r="E1020" s="52">
        <v>0</v>
      </c>
      <c r="F1020" s="52">
        <v>-2.61</v>
      </c>
      <c r="G1020" s="52">
        <f t="shared" si="500"/>
        <v>-2.61</v>
      </c>
      <c r="I1020" s="2"/>
    </row>
    <row r="1021" spans="1:9" x14ac:dyDescent="0.25">
      <c r="A1021" s="28"/>
      <c r="B1021" s="28"/>
      <c r="C1021" s="59" t="s">
        <v>81</v>
      </c>
      <c r="D1021" s="52">
        <f>D1022</f>
        <v>0</v>
      </c>
      <c r="E1021" s="52">
        <f>E1022</f>
        <v>-3458.85</v>
      </c>
      <c r="F1021" s="52">
        <f>F1022</f>
        <v>-3458.85</v>
      </c>
      <c r="G1021" s="52">
        <f t="shared" si="500"/>
        <v>0</v>
      </c>
      <c r="I1021" s="2"/>
    </row>
    <row r="1022" spans="1:9" x14ac:dyDescent="0.25">
      <c r="A1022" s="28"/>
      <c r="B1022" s="28"/>
      <c r="C1022" s="28" t="s">
        <v>89</v>
      </c>
      <c r="D1022" s="53">
        <v>0</v>
      </c>
      <c r="E1022" s="53">
        <v>-3458.85</v>
      </c>
      <c r="F1022" s="53">
        <v>-3458.85</v>
      </c>
      <c r="G1022" s="53">
        <f t="shared" si="500"/>
        <v>0</v>
      </c>
      <c r="I1022" s="2"/>
    </row>
    <row r="1023" spans="1:9" s="14" customFormat="1" x14ac:dyDescent="0.25">
      <c r="A1023" s="51"/>
      <c r="B1023" s="51"/>
      <c r="C1023" s="51" t="s">
        <v>85</v>
      </c>
      <c r="D1023" s="55">
        <v>-44016</v>
      </c>
      <c r="E1023" s="55">
        <f>D1023-1548</f>
        <v>-45564</v>
      </c>
      <c r="F1023" s="55">
        <v>-31133.1</v>
      </c>
      <c r="G1023" s="55">
        <f t="shared" si="500"/>
        <v>14430.900000000001</v>
      </c>
      <c r="H1023" s="9"/>
      <c r="I1023" s="2"/>
    </row>
    <row r="1024" spans="1:9" s="14" customFormat="1" ht="15.75" x14ac:dyDescent="0.25">
      <c r="A1024" s="39" t="s">
        <v>144</v>
      </c>
      <c r="B1024" s="51"/>
      <c r="C1024" s="51"/>
      <c r="D1024" s="54">
        <f>SUM(D1025:D1029)</f>
        <v>-4551239</v>
      </c>
      <c r="E1024" s="54">
        <f>SUM(E1025:E1029)</f>
        <v>-5974079.3399999989</v>
      </c>
      <c r="F1024" s="54">
        <f>SUM(F1025:F1029)</f>
        <v>-4474650.92</v>
      </c>
      <c r="G1024" s="54">
        <f t="shared" ref="G1024:G1030" si="501">F1024-E1024</f>
        <v>1499428.419999999</v>
      </c>
      <c r="H1024" s="9"/>
      <c r="I1024" s="2"/>
    </row>
    <row r="1025" spans="1:9" x14ac:dyDescent="0.25">
      <c r="A1025" s="28"/>
      <c r="B1025" s="28" t="s">
        <v>79</v>
      </c>
      <c r="C1025" s="28"/>
      <c r="D1025" s="52">
        <f>D1034+D1046+D1065</f>
        <v>-4003503</v>
      </c>
      <c r="E1025" s="52">
        <f>E1034+E1046+E1065</f>
        <v>-4711713.4399999995</v>
      </c>
      <c r="F1025" s="52">
        <f>F1034+F1046+F1065</f>
        <v>-4067364.51</v>
      </c>
      <c r="G1025" s="52">
        <f t="shared" si="501"/>
        <v>644348.9299999997</v>
      </c>
      <c r="I1025" s="2"/>
    </row>
    <row r="1026" spans="1:9" x14ac:dyDescent="0.25">
      <c r="A1026" s="28"/>
      <c r="B1026" s="56" t="s">
        <v>80</v>
      </c>
      <c r="C1026" s="28"/>
      <c r="D1026" s="52">
        <f>D1051+D1068</f>
        <v>0</v>
      </c>
      <c r="E1026" s="52">
        <f>E1051+E1068</f>
        <v>0</v>
      </c>
      <c r="F1026" s="52">
        <f>F1051+F1068</f>
        <v>-73.13000000000001</v>
      </c>
      <c r="G1026" s="52">
        <f t="shared" si="501"/>
        <v>-73.13000000000001</v>
      </c>
      <c r="I1026" s="2"/>
    </row>
    <row r="1027" spans="1:9" x14ac:dyDescent="0.25">
      <c r="A1027" s="28"/>
      <c r="B1027" s="56" t="s">
        <v>81</v>
      </c>
      <c r="C1027" s="28"/>
      <c r="D1027" s="52">
        <f>D1038+D1053+D1070</f>
        <v>0</v>
      </c>
      <c r="E1027" s="52">
        <f>E1038+E1053+E1070</f>
        <v>-455635.27</v>
      </c>
      <c r="F1027" s="52">
        <f>F1038+F1053+F1070</f>
        <v>-3390.85</v>
      </c>
      <c r="G1027" s="52">
        <f t="shared" si="501"/>
        <v>452244.42000000004</v>
      </c>
      <c r="I1027" s="2"/>
    </row>
    <row r="1028" spans="1:9" x14ac:dyDescent="0.25">
      <c r="A1028" s="28"/>
      <c r="B1028" s="28" t="s">
        <v>82</v>
      </c>
      <c r="C1028" s="28"/>
      <c r="D1028" s="52">
        <f>D1056</f>
        <v>-154175</v>
      </c>
      <c r="E1028" s="52">
        <f t="shared" ref="E1028:F1028" si="502">E1056</f>
        <v>-414005.98999999993</v>
      </c>
      <c r="F1028" s="52">
        <f t="shared" si="502"/>
        <v>-163083.01999999999</v>
      </c>
      <c r="G1028" s="52">
        <f t="shared" si="501"/>
        <v>250922.96999999994</v>
      </c>
      <c r="I1028" s="2"/>
    </row>
    <row r="1029" spans="1:9" x14ac:dyDescent="0.25">
      <c r="A1029" s="28"/>
      <c r="B1029" s="28" t="s">
        <v>85</v>
      </c>
      <c r="C1029" s="28"/>
      <c r="D1029" s="52">
        <f>D1060+D1072</f>
        <v>-393561</v>
      </c>
      <c r="E1029" s="52">
        <f>E1060+E1072</f>
        <v>-392724.64</v>
      </c>
      <c r="F1029" s="52">
        <f>F1060+F1072</f>
        <v>-240739.41</v>
      </c>
      <c r="G1029" s="52">
        <f t="shared" si="501"/>
        <v>151985.23000000001</v>
      </c>
      <c r="I1029" s="2"/>
    </row>
    <row r="1030" spans="1:9" x14ac:dyDescent="0.25">
      <c r="A1030" s="51"/>
      <c r="B1030" s="51" t="s">
        <v>99</v>
      </c>
      <c r="C1030" s="51"/>
      <c r="D1030" s="54">
        <f>SUM(D1031:D1033)</f>
        <v>-854882</v>
      </c>
      <c r="E1030" s="54">
        <f>SUM(E1031:E1033)</f>
        <v>-1579649.6700000002</v>
      </c>
      <c r="F1030" s="54">
        <f>SUM(F1031:F1033)</f>
        <v>-846586.39</v>
      </c>
      <c r="G1030" s="54">
        <f t="shared" si="501"/>
        <v>733063.28000000014</v>
      </c>
      <c r="I1030" s="2"/>
    </row>
    <row r="1031" spans="1:9" x14ac:dyDescent="0.25">
      <c r="A1031" s="28"/>
      <c r="B1031" s="28"/>
      <c r="C1031" s="28" t="s">
        <v>89</v>
      </c>
      <c r="D1031" s="52">
        <f>D1035+D1039</f>
        <v>-114605</v>
      </c>
      <c r="E1031" s="52">
        <f>E1035+E1039</f>
        <v>-48602.12000000001</v>
      </c>
      <c r="F1031" s="52">
        <f>F1035+F1039</f>
        <v>-26339.99</v>
      </c>
      <c r="G1031" s="52">
        <f t="shared" ref="G1031:G1033" si="503">F1031-E1031</f>
        <v>22262.130000000008</v>
      </c>
      <c r="I1031" s="2"/>
    </row>
    <row r="1032" spans="1:9" x14ac:dyDescent="0.25">
      <c r="A1032" s="28"/>
      <c r="B1032" s="28"/>
      <c r="C1032" s="28" t="s">
        <v>90</v>
      </c>
      <c r="D1032" s="52">
        <f t="shared" ref="D1032:F1032" si="504">D1036</f>
        <v>-105277</v>
      </c>
      <c r="E1032" s="52">
        <f t="shared" si="504"/>
        <v>-75276.990000000005</v>
      </c>
      <c r="F1032" s="52">
        <f t="shared" si="504"/>
        <v>-75276.990000000005</v>
      </c>
      <c r="G1032" s="52">
        <f t="shared" si="503"/>
        <v>0</v>
      </c>
      <c r="I1032" s="2"/>
    </row>
    <row r="1033" spans="1:9" x14ac:dyDescent="0.25">
      <c r="A1033" s="28"/>
      <c r="B1033" s="28"/>
      <c r="C1033" s="28" t="s">
        <v>100</v>
      </c>
      <c r="D1033" s="52">
        <f>D1037+D1040</f>
        <v>-635000</v>
      </c>
      <c r="E1033" s="52">
        <f>E1037+E1040</f>
        <v>-1455770.56</v>
      </c>
      <c r="F1033" s="52">
        <f>F1037+F1040</f>
        <v>-744969.41</v>
      </c>
      <c r="G1033" s="52">
        <f t="shared" si="503"/>
        <v>710801.15</v>
      </c>
      <c r="I1033" s="2"/>
    </row>
    <row r="1034" spans="1:9" x14ac:dyDescent="0.25">
      <c r="A1034" s="51"/>
      <c r="B1034" s="51"/>
      <c r="C1034" s="51" t="s">
        <v>79</v>
      </c>
      <c r="D1034" s="54">
        <f>SUM(D1035:D1037)</f>
        <v>-854882</v>
      </c>
      <c r="E1034" s="54">
        <f t="shared" ref="E1034:F1034" si="505">SUM(E1035:E1037)</f>
        <v>-1143841.6499999999</v>
      </c>
      <c r="F1034" s="54">
        <f t="shared" si="505"/>
        <v>-846586.39</v>
      </c>
      <c r="G1034" s="54">
        <f>F1034-E1034</f>
        <v>297255.25999999989</v>
      </c>
      <c r="I1034" s="2"/>
    </row>
    <row r="1035" spans="1:9" x14ac:dyDescent="0.25">
      <c r="A1035" s="28"/>
      <c r="B1035" s="28"/>
      <c r="C1035" s="28" t="s">
        <v>89</v>
      </c>
      <c r="D1035" s="53">
        <v>-114605</v>
      </c>
      <c r="E1035" s="53">
        <f>D1035+88265.01</f>
        <v>-26339.990000000005</v>
      </c>
      <c r="F1035" s="53">
        <v>-26339.99</v>
      </c>
      <c r="G1035" s="53">
        <f t="shared" ref="G1035:G1036" si="506">F1035-E1035</f>
        <v>0</v>
      </c>
      <c r="I1035" s="2"/>
    </row>
    <row r="1036" spans="1:9" x14ac:dyDescent="0.25">
      <c r="A1036" s="28"/>
      <c r="B1036" s="28"/>
      <c r="C1036" s="28" t="s">
        <v>90</v>
      </c>
      <c r="D1036" s="53">
        <v>-105277</v>
      </c>
      <c r="E1036" s="53">
        <f>D1036+30000.01</f>
        <v>-75276.990000000005</v>
      </c>
      <c r="F1036" s="53">
        <v>-75276.990000000005</v>
      </c>
      <c r="G1036" s="53">
        <f t="shared" si="506"/>
        <v>0</v>
      </c>
      <c r="I1036" s="2"/>
    </row>
    <row r="1037" spans="1:9" x14ac:dyDescent="0.25">
      <c r="A1037" s="28"/>
      <c r="B1037" s="28"/>
      <c r="C1037" s="28" t="s">
        <v>100</v>
      </c>
      <c r="D1037" s="53">
        <v>-635000</v>
      </c>
      <c r="E1037" s="53">
        <f>D1037-407224.67</f>
        <v>-1042224.6699999999</v>
      </c>
      <c r="F1037" s="53">
        <v>-744969.41</v>
      </c>
      <c r="G1037" s="53">
        <f t="shared" ref="G1037:G1040" si="507">F1037-E1037</f>
        <v>297255.25999999989</v>
      </c>
      <c r="I1037" s="2"/>
    </row>
    <row r="1038" spans="1:9" x14ac:dyDescent="0.25">
      <c r="A1038" s="28"/>
      <c r="B1038" s="28"/>
      <c r="C1038" s="59" t="s">
        <v>81</v>
      </c>
      <c r="D1038" s="52">
        <f>SUM(D1039:D1040)</f>
        <v>0</v>
      </c>
      <c r="E1038" s="52">
        <f>SUM(E1039:E1040)</f>
        <v>-435808.02</v>
      </c>
      <c r="F1038" s="52">
        <f>SUM(F1039:F1040)</f>
        <v>0</v>
      </c>
      <c r="G1038" s="52">
        <f t="shared" si="507"/>
        <v>435808.02</v>
      </c>
      <c r="I1038" s="2"/>
    </row>
    <row r="1039" spans="1:9" x14ac:dyDescent="0.25">
      <c r="A1039" s="28"/>
      <c r="B1039" s="28"/>
      <c r="C1039" s="56" t="s">
        <v>89</v>
      </c>
      <c r="D1039" s="52">
        <v>0</v>
      </c>
      <c r="E1039" s="52">
        <v>-22262.13</v>
      </c>
      <c r="F1039" s="52">
        <v>0</v>
      </c>
      <c r="G1039" s="52">
        <f t="shared" si="507"/>
        <v>22262.13</v>
      </c>
      <c r="I1039" s="2"/>
    </row>
    <row r="1040" spans="1:9" x14ac:dyDescent="0.25">
      <c r="A1040" s="28"/>
      <c r="B1040" s="28"/>
      <c r="C1040" s="56" t="s">
        <v>100</v>
      </c>
      <c r="D1040" s="52">
        <v>0</v>
      </c>
      <c r="E1040" s="52">
        <v>-413545.89</v>
      </c>
      <c r="F1040" s="52">
        <v>0</v>
      </c>
      <c r="G1040" s="52">
        <f t="shared" si="507"/>
        <v>413545.89</v>
      </c>
      <c r="I1040" s="2"/>
    </row>
    <row r="1041" spans="1:9" x14ac:dyDescent="0.25">
      <c r="A1041" s="51"/>
      <c r="B1041" s="51" t="s">
        <v>129</v>
      </c>
      <c r="C1041" s="59"/>
      <c r="D1041" s="54">
        <f>SUM(D1042:D1045)</f>
        <v>-2547297</v>
      </c>
      <c r="E1041" s="54">
        <f t="shared" ref="E1041" si="508">SUM(E1042:E1045)</f>
        <v>-3269054.62</v>
      </c>
      <c r="F1041" s="54">
        <f t="shared" ref="F1041" si="509">SUM(F1042:F1045)</f>
        <v>-2686717.1499999994</v>
      </c>
      <c r="G1041" s="54">
        <f>F1041-E1041</f>
        <v>582337.47000000067</v>
      </c>
      <c r="I1041" s="2"/>
    </row>
    <row r="1042" spans="1:9" x14ac:dyDescent="0.25">
      <c r="A1042" s="28"/>
      <c r="B1042" s="28"/>
      <c r="C1042" s="56" t="s">
        <v>89</v>
      </c>
      <c r="D1042" s="52">
        <f t="shared" ref="D1042:F1043" si="510">D1047+D1057+D1054</f>
        <v>-1426641</v>
      </c>
      <c r="E1042" s="52">
        <f t="shared" si="510"/>
        <v>-1727219.0399999998</v>
      </c>
      <c r="F1042" s="52">
        <f t="shared" si="510"/>
        <v>-1558235.9</v>
      </c>
      <c r="G1042" s="52">
        <f t="shared" ref="G1042:G1045" si="511">F1042-E1042</f>
        <v>168983.1399999999</v>
      </c>
      <c r="I1042" s="2"/>
    </row>
    <row r="1043" spans="1:9" x14ac:dyDescent="0.25">
      <c r="A1043" s="28"/>
      <c r="B1043" s="28"/>
      <c r="C1043" s="56" t="s">
        <v>90</v>
      </c>
      <c r="D1043" s="52">
        <f t="shared" si="510"/>
        <v>-838151</v>
      </c>
      <c r="E1043" s="52">
        <f t="shared" si="510"/>
        <v>-1013286.72</v>
      </c>
      <c r="F1043" s="52">
        <f t="shared" si="510"/>
        <v>-897071.4</v>
      </c>
      <c r="G1043" s="52">
        <f t="shared" si="511"/>
        <v>116215.31999999995</v>
      </c>
      <c r="I1043" s="2"/>
    </row>
    <row r="1044" spans="1:9" x14ac:dyDescent="0.25">
      <c r="A1044" s="28"/>
      <c r="B1044" s="28"/>
      <c r="C1044" s="56" t="s">
        <v>100</v>
      </c>
      <c r="D1044" s="52">
        <f>D1049</f>
        <v>-195610</v>
      </c>
      <c r="E1044" s="52">
        <f t="shared" ref="E1044:F1044" si="512">E1049</f>
        <v>-441554.66000000003</v>
      </c>
      <c r="F1044" s="52">
        <f t="shared" si="512"/>
        <v>-164901.35999999999</v>
      </c>
      <c r="G1044" s="52">
        <f t="shared" si="511"/>
        <v>276653.30000000005</v>
      </c>
      <c r="I1044" s="2"/>
    </row>
    <row r="1045" spans="1:9" x14ac:dyDescent="0.25">
      <c r="A1045" s="28"/>
      <c r="B1045" s="28"/>
      <c r="C1045" s="56" t="s">
        <v>91</v>
      </c>
      <c r="D1045" s="52">
        <f>D1060+D1052+D1059</f>
        <v>-86895</v>
      </c>
      <c r="E1045" s="52">
        <f>E1060+E1050+E1052+E1059</f>
        <v>-86994.2</v>
      </c>
      <c r="F1045" s="52">
        <f>F1060+F1050+F1052+F1059</f>
        <v>-66508.489999999991</v>
      </c>
      <c r="G1045" s="52">
        <f t="shared" si="511"/>
        <v>20485.710000000006</v>
      </c>
      <c r="I1045" s="2"/>
    </row>
    <row r="1046" spans="1:9" x14ac:dyDescent="0.25">
      <c r="A1046" s="51"/>
      <c r="B1046" s="51"/>
      <c r="C1046" s="59" t="s">
        <v>79</v>
      </c>
      <c r="D1046" s="54">
        <f>SUM(D1047:D1050)</f>
        <v>-2306227</v>
      </c>
      <c r="E1046" s="54">
        <f>SUM(E1047:E1050)</f>
        <v>-2751785.23</v>
      </c>
      <c r="F1046" s="54">
        <f>SUM(F1047:F1050)</f>
        <v>-2457292.84</v>
      </c>
      <c r="G1046" s="54">
        <f>F1046-E1046</f>
        <v>294492.39000000013</v>
      </c>
      <c r="I1046" s="2"/>
    </row>
    <row r="1047" spans="1:9" x14ac:dyDescent="0.25">
      <c r="A1047" s="28"/>
      <c r="B1047" s="28"/>
      <c r="C1047" s="28" t="s">
        <v>89</v>
      </c>
      <c r="D1047" s="53">
        <v>-1284187</v>
      </c>
      <c r="E1047" s="53">
        <f>D1047-142247.93</f>
        <v>-1426434.93</v>
      </c>
      <c r="F1047" s="53">
        <v>-1424083.69</v>
      </c>
      <c r="G1047" s="53">
        <f t="shared" ref="G1047:G1055" si="513">F1047-E1047</f>
        <v>2351.2399999999907</v>
      </c>
      <c r="I1047" s="2"/>
    </row>
    <row r="1048" spans="1:9" x14ac:dyDescent="0.25">
      <c r="A1048" s="28"/>
      <c r="B1048" s="28"/>
      <c r="C1048" s="28" t="s">
        <v>90</v>
      </c>
      <c r="D1048" s="53">
        <v>-826430</v>
      </c>
      <c r="E1048" s="53">
        <f>D1048-57275.36</f>
        <v>-883705.36</v>
      </c>
      <c r="F1048" s="53">
        <v>-868217.51</v>
      </c>
      <c r="G1048" s="53">
        <f t="shared" si="513"/>
        <v>15487.849999999977</v>
      </c>
      <c r="I1048" s="2"/>
    </row>
    <row r="1049" spans="1:9" x14ac:dyDescent="0.25">
      <c r="A1049" s="28"/>
      <c r="B1049" s="28"/>
      <c r="C1049" s="28" t="s">
        <v>100</v>
      </c>
      <c r="D1049" s="53">
        <v>-195610</v>
      </c>
      <c r="E1049" s="53">
        <f>D1049-245944.66</f>
        <v>-441554.66000000003</v>
      </c>
      <c r="F1049" s="53">
        <v>-164901.35999999999</v>
      </c>
      <c r="G1049" s="53">
        <f t="shared" si="513"/>
        <v>276653.30000000005</v>
      </c>
      <c r="I1049" s="2"/>
    </row>
    <row r="1050" spans="1:9" x14ac:dyDescent="0.25">
      <c r="A1050" s="28"/>
      <c r="B1050" s="28"/>
      <c r="C1050" s="28" t="s">
        <v>95</v>
      </c>
      <c r="D1050" s="53">
        <v>0</v>
      </c>
      <c r="E1050" s="53">
        <v>-90.28</v>
      </c>
      <c r="F1050" s="53">
        <v>-90.28</v>
      </c>
      <c r="G1050" s="53">
        <f t="shared" si="513"/>
        <v>0</v>
      </c>
      <c r="I1050" s="2"/>
    </row>
    <row r="1051" spans="1:9" x14ac:dyDescent="0.25">
      <c r="A1051" s="28"/>
      <c r="B1051" s="28"/>
      <c r="C1051" s="59" t="s">
        <v>80</v>
      </c>
      <c r="D1051" s="52">
        <f>D1052</f>
        <v>0</v>
      </c>
      <c r="E1051" s="52">
        <f>E1052</f>
        <v>0</v>
      </c>
      <c r="F1051" s="52">
        <f>F1052</f>
        <v>-64.98</v>
      </c>
      <c r="G1051" s="52">
        <f t="shared" si="513"/>
        <v>-64.98</v>
      </c>
      <c r="I1051" s="2"/>
    </row>
    <row r="1052" spans="1:9" x14ac:dyDescent="0.25">
      <c r="A1052" s="28"/>
      <c r="B1052" s="28"/>
      <c r="C1052" s="56" t="s">
        <v>95</v>
      </c>
      <c r="D1052" s="52">
        <v>0</v>
      </c>
      <c r="E1052" s="52">
        <v>0</v>
      </c>
      <c r="F1052" s="52">
        <v>-64.98</v>
      </c>
      <c r="G1052" s="52">
        <f t="shared" si="513"/>
        <v>-64.98</v>
      </c>
      <c r="I1052" s="2"/>
    </row>
    <row r="1053" spans="1:9" x14ac:dyDescent="0.25">
      <c r="A1053" s="28"/>
      <c r="B1053" s="28"/>
      <c r="C1053" s="59" t="s">
        <v>81</v>
      </c>
      <c r="D1053" s="52">
        <f>SUM(D1054:D1055)</f>
        <v>0</v>
      </c>
      <c r="E1053" s="52">
        <f>SUM(E1054:E1055)</f>
        <v>-16368.4</v>
      </c>
      <c r="F1053" s="52">
        <f>SUM(F1054:F1055)</f>
        <v>68</v>
      </c>
      <c r="G1053" s="52">
        <f t="shared" si="513"/>
        <v>16436.400000000001</v>
      </c>
      <c r="I1053" s="2"/>
    </row>
    <row r="1054" spans="1:9" x14ac:dyDescent="0.25">
      <c r="A1054" s="28"/>
      <c r="B1054" s="28"/>
      <c r="C1054" s="56" t="s">
        <v>89</v>
      </c>
      <c r="D1054" s="52">
        <v>0</v>
      </c>
      <c r="E1054" s="52">
        <v>-14567.88</v>
      </c>
      <c r="F1054" s="52">
        <v>64</v>
      </c>
      <c r="G1054" s="52">
        <f t="shared" si="513"/>
        <v>14631.88</v>
      </c>
      <c r="I1054" s="2"/>
    </row>
    <row r="1055" spans="1:9" x14ac:dyDescent="0.25">
      <c r="A1055" s="28"/>
      <c r="B1055" s="28"/>
      <c r="C1055" s="56" t="s">
        <v>90</v>
      </c>
      <c r="D1055" s="52">
        <v>0</v>
      </c>
      <c r="E1055" s="52">
        <v>-1800.52</v>
      </c>
      <c r="F1055" s="52">
        <v>4</v>
      </c>
      <c r="G1055" s="52">
        <f t="shared" si="513"/>
        <v>1804.52</v>
      </c>
      <c r="I1055" s="2"/>
    </row>
    <row r="1056" spans="1:9" s="14" customFormat="1" ht="12.6" customHeight="1" x14ac:dyDescent="0.25">
      <c r="A1056" s="51"/>
      <c r="B1056" s="51"/>
      <c r="C1056" s="59" t="s">
        <v>82</v>
      </c>
      <c r="D1056" s="54">
        <f>SUM(D1057:D1059)</f>
        <v>-154175</v>
      </c>
      <c r="E1056" s="54">
        <f>SUM(E1057:E1059)</f>
        <v>-414005.98999999993</v>
      </c>
      <c r="F1056" s="54">
        <f>SUM(F1057:F1059)</f>
        <v>-163083.01999999999</v>
      </c>
      <c r="G1056" s="54">
        <f>F1056-E1056</f>
        <v>250922.96999999994</v>
      </c>
      <c r="H1056" s="9"/>
      <c r="I1056" s="2"/>
    </row>
    <row r="1057" spans="1:9" ht="12.6" customHeight="1" x14ac:dyDescent="0.25">
      <c r="A1057" s="28"/>
      <c r="B1057" s="28"/>
      <c r="C1057" s="56" t="s">
        <v>89</v>
      </c>
      <c r="D1057" s="52">
        <v>-142454</v>
      </c>
      <c r="E1057" s="52">
        <f>D1057-143762.23</f>
        <v>-286216.23</v>
      </c>
      <c r="F1057" s="52">
        <v>-134216.21</v>
      </c>
      <c r="G1057" s="52">
        <f t="shared" ref="G1057:G1059" si="514">F1057-E1057</f>
        <v>152000.01999999999</v>
      </c>
      <c r="I1057" s="2"/>
    </row>
    <row r="1058" spans="1:9" x14ac:dyDescent="0.25">
      <c r="A1058" s="28"/>
      <c r="B1058" s="28"/>
      <c r="C1058" s="56" t="s">
        <v>90</v>
      </c>
      <c r="D1058" s="52">
        <v>-11721</v>
      </c>
      <c r="E1058" s="52">
        <f>D1058-116059.84</f>
        <v>-127780.84</v>
      </c>
      <c r="F1058" s="52">
        <v>-28857.89</v>
      </c>
      <c r="G1058" s="52">
        <f t="shared" si="514"/>
        <v>98922.95</v>
      </c>
      <c r="I1058" s="2"/>
    </row>
    <row r="1059" spans="1:9" x14ac:dyDescent="0.25">
      <c r="A1059" s="28"/>
      <c r="B1059" s="28"/>
      <c r="C1059" s="56" t="s">
        <v>95</v>
      </c>
      <c r="D1059" s="52">
        <v>0</v>
      </c>
      <c r="E1059" s="52">
        <v>-8.92</v>
      </c>
      <c r="F1059" s="52">
        <v>-8.92</v>
      </c>
      <c r="G1059" s="52">
        <f t="shared" si="514"/>
        <v>0</v>
      </c>
      <c r="I1059" s="2"/>
    </row>
    <row r="1060" spans="1:9" s="14" customFormat="1" x14ac:dyDescent="0.25">
      <c r="A1060" s="51"/>
      <c r="B1060" s="51"/>
      <c r="C1060" s="59" t="s">
        <v>85</v>
      </c>
      <c r="D1060" s="54">
        <v>-86895</v>
      </c>
      <c r="E1060" s="54">
        <f>D1060</f>
        <v>-86895</v>
      </c>
      <c r="F1060" s="54">
        <v>-66344.31</v>
      </c>
      <c r="G1060" s="54">
        <f>F1060-E1060</f>
        <v>20550.690000000002</v>
      </c>
      <c r="H1060" s="9"/>
      <c r="I1060" s="2"/>
    </row>
    <row r="1061" spans="1:9" x14ac:dyDescent="0.25">
      <c r="A1061" s="51"/>
      <c r="B1061" s="51" t="s">
        <v>88</v>
      </c>
      <c r="C1061" s="51"/>
      <c r="D1061" s="54">
        <f>SUM(D1062:D1064)</f>
        <v>-1149060</v>
      </c>
      <c r="E1061" s="54">
        <f>SUM(E1062:E1064)</f>
        <v>-1125375.0499999998</v>
      </c>
      <c r="F1061" s="54">
        <f>SUM(F1062:F1064)</f>
        <v>-941347.38</v>
      </c>
      <c r="G1061" s="54">
        <f>F1061-E1061</f>
        <v>184027.66999999981</v>
      </c>
      <c r="I1061" s="2"/>
    </row>
    <row r="1062" spans="1:9" x14ac:dyDescent="0.25">
      <c r="A1062" s="28"/>
      <c r="B1062" s="28"/>
      <c r="C1062" s="28" t="s">
        <v>89</v>
      </c>
      <c r="D1062" s="52">
        <f>D1066+D1071</f>
        <v>-419782</v>
      </c>
      <c r="E1062" s="52">
        <f>E1066+E1071</f>
        <v>-439351.13999999996</v>
      </c>
      <c r="F1062" s="52">
        <f>F1066+F1071</f>
        <v>-414090.87</v>
      </c>
      <c r="G1062" s="52">
        <f t="shared" ref="G1062:G1064" si="515">F1062-E1062</f>
        <v>25260.26999999996</v>
      </c>
      <c r="I1062" s="2"/>
    </row>
    <row r="1063" spans="1:9" x14ac:dyDescent="0.25">
      <c r="A1063" s="28"/>
      <c r="B1063" s="28"/>
      <c r="C1063" s="28" t="s">
        <v>90</v>
      </c>
      <c r="D1063" s="52">
        <f>D1067</f>
        <v>-422612</v>
      </c>
      <c r="E1063" s="52">
        <f t="shared" ref="E1063:F1063" si="516">E1067</f>
        <v>-380194.27</v>
      </c>
      <c r="F1063" s="52">
        <f t="shared" si="516"/>
        <v>-352853.26</v>
      </c>
      <c r="G1063" s="52">
        <f t="shared" si="515"/>
        <v>27341.010000000009</v>
      </c>
      <c r="I1063" s="2"/>
    </row>
    <row r="1064" spans="1:9" x14ac:dyDescent="0.25">
      <c r="A1064" s="28"/>
      <c r="B1064" s="28"/>
      <c r="C1064" s="28" t="s">
        <v>91</v>
      </c>
      <c r="D1064" s="52">
        <f>D1072+D1069</f>
        <v>-306666</v>
      </c>
      <c r="E1064" s="52">
        <f>E1072+E1069</f>
        <v>-305829.64</v>
      </c>
      <c r="F1064" s="52">
        <f>F1072+F1069</f>
        <v>-174403.25</v>
      </c>
      <c r="G1064" s="52">
        <f t="shared" si="515"/>
        <v>131426.39000000001</v>
      </c>
      <c r="I1064" s="2"/>
    </row>
    <row r="1065" spans="1:9" x14ac:dyDescent="0.25">
      <c r="A1065" s="51"/>
      <c r="B1065" s="51"/>
      <c r="C1065" s="51" t="s">
        <v>79</v>
      </c>
      <c r="D1065" s="54">
        <f>SUM(D1066:D1067)</f>
        <v>-842394</v>
      </c>
      <c r="E1065" s="54">
        <f>SUM(E1066:E1067)</f>
        <v>-816086.56</v>
      </c>
      <c r="F1065" s="54">
        <f>SUM(F1066:F1067)</f>
        <v>-763485.28</v>
      </c>
      <c r="G1065" s="54">
        <f>F1065-E1065</f>
        <v>52601.280000000028</v>
      </c>
      <c r="I1065" s="2"/>
    </row>
    <row r="1066" spans="1:9" x14ac:dyDescent="0.25">
      <c r="A1066" s="28"/>
      <c r="B1066" s="28"/>
      <c r="C1066" s="28" t="s">
        <v>89</v>
      </c>
      <c r="D1066" s="53">
        <v>-419782</v>
      </c>
      <c r="E1066" s="53">
        <f>D1066-16110.29</f>
        <v>-435892.29</v>
      </c>
      <c r="F1066" s="53">
        <v>-410632.02</v>
      </c>
      <c r="G1066" s="53">
        <f t="shared" ref="G1066:G1072" si="517">F1066-E1066</f>
        <v>25260.26999999996</v>
      </c>
      <c r="I1066" s="2"/>
    </row>
    <row r="1067" spans="1:9" x14ac:dyDescent="0.25">
      <c r="A1067" s="28"/>
      <c r="B1067" s="28"/>
      <c r="C1067" s="28" t="s">
        <v>90</v>
      </c>
      <c r="D1067" s="53">
        <v>-422612</v>
      </c>
      <c r="E1067" s="53">
        <f>D1067+42417.73</f>
        <v>-380194.27</v>
      </c>
      <c r="F1067" s="53">
        <v>-352853.26</v>
      </c>
      <c r="G1067" s="53">
        <f t="shared" si="517"/>
        <v>27341.010000000009</v>
      </c>
      <c r="I1067" s="2"/>
    </row>
    <row r="1068" spans="1:9" x14ac:dyDescent="0.25">
      <c r="A1068" s="28"/>
      <c r="B1068" s="28"/>
      <c r="C1068" s="59" t="s">
        <v>80</v>
      </c>
      <c r="D1068" s="52">
        <f>D1069</f>
        <v>0</v>
      </c>
      <c r="E1068" s="52">
        <f>E1069</f>
        <v>0</v>
      </c>
      <c r="F1068" s="52">
        <f>F1069</f>
        <v>-8.15</v>
      </c>
      <c r="G1068" s="52">
        <f t="shared" si="517"/>
        <v>-8.15</v>
      </c>
      <c r="I1068" s="2"/>
    </row>
    <row r="1069" spans="1:9" x14ac:dyDescent="0.25">
      <c r="A1069" s="28"/>
      <c r="B1069" s="28"/>
      <c r="C1069" s="56" t="s">
        <v>95</v>
      </c>
      <c r="D1069" s="52">
        <v>0</v>
      </c>
      <c r="E1069" s="52">
        <v>0</v>
      </c>
      <c r="F1069" s="52">
        <v>-8.15</v>
      </c>
      <c r="G1069" s="52">
        <f t="shared" si="517"/>
        <v>-8.15</v>
      </c>
      <c r="I1069" s="2"/>
    </row>
    <row r="1070" spans="1:9" x14ac:dyDescent="0.25">
      <c r="A1070" s="28"/>
      <c r="B1070" s="28"/>
      <c r="C1070" s="59" t="s">
        <v>81</v>
      </c>
      <c r="D1070" s="52">
        <f>D1071</f>
        <v>0</v>
      </c>
      <c r="E1070" s="52">
        <f>E1071</f>
        <v>-3458.85</v>
      </c>
      <c r="F1070" s="52">
        <f>E1071</f>
        <v>-3458.85</v>
      </c>
      <c r="G1070" s="52">
        <f t="shared" si="517"/>
        <v>0</v>
      </c>
      <c r="I1070" s="2"/>
    </row>
    <row r="1071" spans="1:9" x14ac:dyDescent="0.25">
      <c r="A1071" s="28"/>
      <c r="B1071" s="28"/>
      <c r="C1071" s="56" t="s">
        <v>89</v>
      </c>
      <c r="D1071" s="52">
        <v>0</v>
      </c>
      <c r="E1071" s="52">
        <v>-3458.85</v>
      </c>
      <c r="F1071" s="52">
        <v>-3458.85</v>
      </c>
      <c r="G1071" s="52">
        <f t="shared" si="517"/>
        <v>0</v>
      </c>
      <c r="I1071" s="2"/>
    </row>
    <row r="1072" spans="1:9" s="14" customFormat="1" x14ac:dyDescent="0.25">
      <c r="A1072" s="51"/>
      <c r="B1072" s="51"/>
      <c r="C1072" s="59" t="s">
        <v>85</v>
      </c>
      <c r="D1072" s="54">
        <v>-306666</v>
      </c>
      <c r="E1072" s="54">
        <f>D1072+836.36</f>
        <v>-305829.64</v>
      </c>
      <c r="F1072" s="54">
        <v>-174395.1</v>
      </c>
      <c r="G1072" s="54">
        <f t="shared" si="517"/>
        <v>131434.54</v>
      </c>
      <c r="H1072" s="9"/>
      <c r="I1072" s="2"/>
    </row>
    <row r="1073" spans="1:9" s="14" customFormat="1" ht="15.75" x14ac:dyDescent="0.25">
      <c r="A1073" s="39" t="s">
        <v>145</v>
      </c>
      <c r="B1073" s="51"/>
      <c r="C1073" s="59"/>
      <c r="D1073" s="54">
        <f>SUM(D1074:D1079)</f>
        <v>-2342267511</v>
      </c>
      <c r="E1073" s="54">
        <f>SUM(E1074:E1079)</f>
        <v>-2350523306.4899998</v>
      </c>
      <c r="F1073" s="54">
        <f>SUM(F1074:F1079)</f>
        <v>-2360394328.52</v>
      </c>
      <c r="G1073" s="54">
        <f>F1073-E1073</f>
        <v>-9871022.0300002098</v>
      </c>
      <c r="H1073" s="9"/>
      <c r="I1073" s="2"/>
    </row>
    <row r="1074" spans="1:9" x14ac:dyDescent="0.25">
      <c r="A1074" s="28"/>
      <c r="B1074" s="28" t="s">
        <v>79</v>
      </c>
      <c r="C1074" s="56"/>
      <c r="D1074" s="52">
        <f>D1085+D1102</f>
        <v>-14705990</v>
      </c>
      <c r="E1074" s="52">
        <f t="shared" ref="E1074:F1074" si="518">E1085+E1102</f>
        <v>-19275273.289999999</v>
      </c>
      <c r="F1074" s="52">
        <f t="shared" si="518"/>
        <v>-17667909.969999999</v>
      </c>
      <c r="G1074" s="52">
        <f>F1074-E1074</f>
        <v>1607363.3200000003</v>
      </c>
      <c r="I1074" s="2"/>
    </row>
    <row r="1075" spans="1:9" x14ac:dyDescent="0.25">
      <c r="A1075" s="28"/>
      <c r="B1075" s="28" t="s">
        <v>80</v>
      </c>
      <c r="C1075" s="56"/>
      <c r="D1075" s="52">
        <f>D1095+D1105</f>
        <v>-313823986</v>
      </c>
      <c r="E1075" s="52">
        <f>E1095+E1105</f>
        <v>-313823986</v>
      </c>
      <c r="F1075" s="52">
        <f>F1095+F1105</f>
        <v>-310052758.19</v>
      </c>
      <c r="G1075" s="52">
        <f t="shared" ref="G1075:G1078" si="519">F1075-E1075</f>
        <v>3771227.8100000024</v>
      </c>
      <c r="I1075" s="2"/>
    </row>
    <row r="1076" spans="1:9" x14ac:dyDescent="0.25">
      <c r="A1076" s="28"/>
      <c r="B1076" s="28" t="s">
        <v>81</v>
      </c>
      <c r="C1076" s="56"/>
      <c r="D1076" s="52">
        <f>D1087+D1107</f>
        <v>-2029123</v>
      </c>
      <c r="E1076" s="52">
        <f t="shared" ref="E1076:F1076" si="520">E1087+E1107</f>
        <v>-2013235.53</v>
      </c>
      <c r="F1076" s="52">
        <f t="shared" si="520"/>
        <v>-788811.47</v>
      </c>
      <c r="G1076" s="52">
        <f t="shared" si="519"/>
        <v>1224424.06</v>
      </c>
      <c r="I1076" s="2"/>
    </row>
    <row r="1077" spans="1:9" x14ac:dyDescent="0.25">
      <c r="A1077" s="28"/>
      <c r="B1077" s="28" t="s">
        <v>82</v>
      </c>
      <c r="C1077" s="56"/>
      <c r="D1077" s="52">
        <f>D1110</f>
        <v>-2445679</v>
      </c>
      <c r="E1077" s="52">
        <f t="shared" ref="E1077:F1077" si="521">E1110</f>
        <v>-6148078.6699999999</v>
      </c>
      <c r="F1077" s="52">
        <f t="shared" si="521"/>
        <v>-4113253.99</v>
      </c>
      <c r="G1077" s="52">
        <f t="shared" si="519"/>
        <v>2034824.6799999997</v>
      </c>
      <c r="I1077" s="2"/>
    </row>
    <row r="1078" spans="1:9" x14ac:dyDescent="0.25">
      <c r="A1078" s="28"/>
      <c r="B1078" s="28" t="s">
        <v>83</v>
      </c>
      <c r="C1078" s="56"/>
      <c r="D1078" s="52">
        <f>D1091</f>
        <v>-2007878960</v>
      </c>
      <c r="E1078" s="52">
        <f t="shared" ref="E1078:F1078" si="522">E1091</f>
        <v>-2007878960</v>
      </c>
      <c r="F1078" s="52">
        <f t="shared" si="522"/>
        <v>-2025375926.99</v>
      </c>
      <c r="G1078" s="52">
        <f t="shared" si="519"/>
        <v>-17496966.99000001</v>
      </c>
      <c r="I1078" s="2"/>
    </row>
    <row r="1079" spans="1:9" x14ac:dyDescent="0.25">
      <c r="A1079" s="28"/>
      <c r="B1079" s="28" t="s">
        <v>85</v>
      </c>
      <c r="C1079" s="56"/>
      <c r="D1079" s="52">
        <f>D1113</f>
        <v>-1383773</v>
      </c>
      <c r="E1079" s="52">
        <f t="shared" ref="E1079:F1079" si="523">E1113</f>
        <v>-1383773</v>
      </c>
      <c r="F1079" s="52">
        <f t="shared" si="523"/>
        <v>-2395667.91</v>
      </c>
      <c r="G1079" s="52">
        <f>F1079-E1079</f>
        <v>-1011894.9100000001</v>
      </c>
      <c r="I1079" s="2"/>
    </row>
    <row r="1080" spans="1:9" x14ac:dyDescent="0.25">
      <c r="A1080" s="51"/>
      <c r="B1080" s="51" t="s">
        <v>99</v>
      </c>
      <c r="C1080" s="59"/>
      <c r="D1080" s="54">
        <f>SUM(D1081:D1084)</f>
        <v>-2021686958</v>
      </c>
      <c r="E1080" s="54">
        <f t="shared" ref="E1080:F1080" si="524">SUM(E1081:E1084)</f>
        <v>-2024007588.6300001</v>
      </c>
      <c r="F1080" s="54">
        <f t="shared" si="524"/>
        <v>-2039700812.29</v>
      </c>
      <c r="G1080" s="54">
        <f>F1080-E1080</f>
        <v>-15693223.659999847</v>
      </c>
      <c r="I1080" s="2"/>
    </row>
    <row r="1081" spans="1:9" x14ac:dyDescent="0.25">
      <c r="A1081" s="28"/>
      <c r="B1081" s="28"/>
      <c r="C1081" s="56" t="s">
        <v>89</v>
      </c>
      <c r="D1081" s="52">
        <f>D1088</f>
        <v>-30675</v>
      </c>
      <c r="E1081" s="52">
        <f t="shared" ref="E1081:F1081" si="525">E1088</f>
        <v>-1081965.26</v>
      </c>
      <c r="F1081" s="52">
        <f t="shared" si="525"/>
        <v>-178250.56</v>
      </c>
      <c r="G1081" s="52">
        <f t="shared" ref="G1081:G1083" si="526">F1081-E1081</f>
        <v>903714.7</v>
      </c>
      <c r="I1081" s="2"/>
    </row>
    <row r="1082" spans="1:9" x14ac:dyDescent="0.25">
      <c r="A1082" s="28"/>
      <c r="B1082" s="28"/>
      <c r="C1082" s="56" t="s">
        <v>90</v>
      </c>
      <c r="D1082" s="52">
        <f>D1089</f>
        <v>-7780</v>
      </c>
      <c r="E1082" s="52">
        <f t="shared" ref="E1082:F1082" si="527">E1089</f>
        <v>-16535.46</v>
      </c>
      <c r="F1082" s="52">
        <f t="shared" si="527"/>
        <v>0</v>
      </c>
      <c r="G1082" s="52">
        <f t="shared" si="526"/>
        <v>16535.46</v>
      </c>
      <c r="I1082" s="2"/>
    </row>
    <row r="1083" spans="1:9" x14ac:dyDescent="0.25">
      <c r="A1083" s="28"/>
      <c r="B1083" s="28"/>
      <c r="C1083" s="56" t="s">
        <v>100</v>
      </c>
      <c r="D1083" s="52">
        <f>D1086+D1090</f>
        <v>-13769543</v>
      </c>
      <c r="E1083" s="52">
        <f t="shared" ref="E1083:F1083" si="528">E1086+E1090</f>
        <v>-15030127.91</v>
      </c>
      <c r="F1083" s="52">
        <f t="shared" si="528"/>
        <v>-14146634.74</v>
      </c>
      <c r="G1083" s="52">
        <f t="shared" si="526"/>
        <v>883493.16999999993</v>
      </c>
      <c r="I1083" s="2"/>
    </row>
    <row r="1084" spans="1:9" x14ac:dyDescent="0.25">
      <c r="A1084" s="28"/>
      <c r="B1084" s="28"/>
      <c r="C1084" s="56" t="s">
        <v>91</v>
      </c>
      <c r="D1084" s="52">
        <f>D1092</f>
        <v>-2007878960</v>
      </c>
      <c r="E1084" s="52">
        <f t="shared" ref="E1084:F1084" si="529">E1092</f>
        <v>-2007878960</v>
      </c>
      <c r="F1084" s="52">
        <f t="shared" si="529"/>
        <v>-2025375926.99</v>
      </c>
      <c r="G1084" s="52">
        <f t="shared" ref="G1084" si="530">F1084-E1084</f>
        <v>-17496966.99000001</v>
      </c>
      <c r="I1084" s="2"/>
    </row>
    <row r="1085" spans="1:9" x14ac:dyDescent="0.25">
      <c r="A1085" s="51"/>
      <c r="B1085" s="51"/>
      <c r="C1085" s="59" t="s">
        <v>79</v>
      </c>
      <c r="D1085" s="54">
        <f>SUM(D1086:D1086)</f>
        <v>-12000856</v>
      </c>
      <c r="E1085" s="54">
        <f>SUM(E1086:E1086)</f>
        <v>-15029518.59</v>
      </c>
      <c r="F1085" s="54">
        <f>SUM(F1086:F1086)</f>
        <v>-14146025.42</v>
      </c>
      <c r="G1085" s="54">
        <f>F1085-E1085</f>
        <v>883493.16999999993</v>
      </c>
      <c r="I1085" s="2"/>
    </row>
    <row r="1086" spans="1:9" x14ac:dyDescent="0.25">
      <c r="A1086" s="28"/>
      <c r="B1086" s="28"/>
      <c r="C1086" s="56" t="s">
        <v>100</v>
      </c>
      <c r="D1086" s="52">
        <v>-12000856</v>
      </c>
      <c r="E1086" s="52">
        <f>D1086-3028662.59</f>
        <v>-15029518.59</v>
      </c>
      <c r="F1086" s="52">
        <v>-14146025.42</v>
      </c>
      <c r="G1086" s="52">
        <f t="shared" ref="G1086" si="531">F1086-E1086</f>
        <v>883493.16999999993</v>
      </c>
      <c r="I1086" s="2"/>
    </row>
    <row r="1087" spans="1:9" x14ac:dyDescent="0.25">
      <c r="A1087" s="51"/>
      <c r="B1087" s="51"/>
      <c r="C1087" s="59" t="s">
        <v>81</v>
      </c>
      <c r="D1087" s="54">
        <f>SUM(D1088:D1090)</f>
        <v>-1807142</v>
      </c>
      <c r="E1087" s="54">
        <f t="shared" ref="E1087:F1087" si="532">SUM(E1088:E1090)</f>
        <v>-1099110.04</v>
      </c>
      <c r="F1087" s="54">
        <f t="shared" si="532"/>
        <v>-178859.88</v>
      </c>
      <c r="G1087" s="54">
        <f>F1087-E1087</f>
        <v>920250.16</v>
      </c>
      <c r="I1087" s="2"/>
    </row>
    <row r="1088" spans="1:9" x14ac:dyDescent="0.25">
      <c r="A1088" s="28"/>
      <c r="B1088" s="28"/>
      <c r="C1088" s="56" t="s">
        <v>89</v>
      </c>
      <c r="D1088" s="52">
        <v>-30675</v>
      </c>
      <c r="E1088" s="52">
        <f>D1088-1051290.26</f>
        <v>-1081965.26</v>
      </c>
      <c r="F1088" s="52">
        <v>-178250.56</v>
      </c>
      <c r="G1088" s="52">
        <f t="shared" ref="G1088:G1090" si="533">F1088-E1088</f>
        <v>903714.7</v>
      </c>
      <c r="I1088" s="2"/>
    </row>
    <row r="1089" spans="1:9" x14ac:dyDescent="0.25">
      <c r="A1089" s="28"/>
      <c r="B1089" s="28"/>
      <c r="C1089" s="56" t="s">
        <v>90</v>
      </c>
      <c r="D1089" s="52">
        <v>-7780</v>
      </c>
      <c r="E1089" s="52">
        <f>D1089-8755.46</f>
        <v>-16535.46</v>
      </c>
      <c r="F1089" s="52">
        <v>0</v>
      </c>
      <c r="G1089" s="52">
        <f t="shared" si="533"/>
        <v>16535.46</v>
      </c>
      <c r="I1089" s="2"/>
    </row>
    <row r="1090" spans="1:9" x14ac:dyDescent="0.25">
      <c r="A1090" s="28"/>
      <c r="B1090" s="28"/>
      <c r="C1090" s="56" t="s">
        <v>100</v>
      </c>
      <c r="D1090" s="52">
        <v>-1768687</v>
      </c>
      <c r="E1090" s="52">
        <f>D1090+1768077.68</f>
        <v>-609.32000000006519</v>
      </c>
      <c r="F1090" s="52">
        <v>-609.32000000000005</v>
      </c>
      <c r="G1090" s="52">
        <f t="shared" si="533"/>
        <v>6.5142558014485985E-11</v>
      </c>
      <c r="I1090" s="2"/>
    </row>
    <row r="1091" spans="1:9" x14ac:dyDescent="0.25">
      <c r="A1091" s="51"/>
      <c r="B1091" s="51"/>
      <c r="C1091" s="59" t="s">
        <v>83</v>
      </c>
      <c r="D1091" s="54">
        <f>SUM(D1092:D1092)</f>
        <v>-2007878960</v>
      </c>
      <c r="E1091" s="54">
        <f>SUM(E1092:E1092)</f>
        <v>-2007878960</v>
      </c>
      <c r="F1091" s="54">
        <f>SUM(F1092:F1092)</f>
        <v>-2025375926.99</v>
      </c>
      <c r="G1091" s="54">
        <f>F1091-E1091</f>
        <v>-17496966.99000001</v>
      </c>
      <c r="I1091" s="2"/>
    </row>
    <row r="1092" spans="1:9" x14ac:dyDescent="0.25">
      <c r="A1092" s="28"/>
      <c r="B1092" s="28"/>
      <c r="C1092" s="56" t="s">
        <v>95</v>
      </c>
      <c r="D1092" s="52">
        <v>-2007878960</v>
      </c>
      <c r="E1092" s="52">
        <f t="shared" ref="E1092" si="534">D1092</f>
        <v>-2007878960</v>
      </c>
      <c r="F1092" s="52">
        <v>-2025375926.99</v>
      </c>
      <c r="G1092" s="52">
        <f t="shared" ref="G1092" si="535">F1092-E1092</f>
        <v>-17496966.99000001</v>
      </c>
      <c r="I1092" s="2"/>
    </row>
    <row r="1093" spans="1:9" x14ac:dyDescent="0.25">
      <c r="A1093" s="51"/>
      <c r="B1093" s="51" t="s">
        <v>93</v>
      </c>
      <c r="C1093" s="59"/>
      <c r="D1093" s="54">
        <f>SUM(D1094:D1094)</f>
        <v>-313823986</v>
      </c>
      <c r="E1093" s="54">
        <f>SUM(E1094:E1094)</f>
        <v>-313823986</v>
      </c>
      <c r="F1093" s="54">
        <f>SUM(F1094:F1094)</f>
        <v>-310054000</v>
      </c>
      <c r="G1093" s="54">
        <f>F1093-E1093</f>
        <v>3769986</v>
      </c>
      <c r="I1093" s="2"/>
    </row>
    <row r="1094" spans="1:9" x14ac:dyDescent="0.25">
      <c r="A1094" s="28"/>
      <c r="B1094" s="28"/>
      <c r="C1094" s="56" t="s">
        <v>100</v>
      </c>
      <c r="D1094" s="52">
        <f>D1096</f>
        <v>-313823986</v>
      </c>
      <c r="E1094" s="52">
        <f t="shared" ref="E1094:F1094" si="536">E1096</f>
        <v>-313823986</v>
      </c>
      <c r="F1094" s="52">
        <f t="shared" si="536"/>
        <v>-310054000</v>
      </c>
      <c r="G1094" s="52">
        <f t="shared" ref="G1094" si="537">F1094-E1094</f>
        <v>3769986</v>
      </c>
      <c r="I1094" s="2"/>
    </row>
    <row r="1095" spans="1:9" x14ac:dyDescent="0.25">
      <c r="A1095" s="51"/>
      <c r="B1095" s="51"/>
      <c r="C1095" s="59" t="s">
        <v>80</v>
      </c>
      <c r="D1095" s="54">
        <f>D1096</f>
        <v>-313823986</v>
      </c>
      <c r="E1095" s="54">
        <f t="shared" ref="E1095:F1095" si="538">E1096</f>
        <v>-313823986</v>
      </c>
      <c r="F1095" s="54">
        <f t="shared" si="538"/>
        <v>-310054000</v>
      </c>
      <c r="G1095" s="54">
        <f>F1095-E1095</f>
        <v>3769986</v>
      </c>
      <c r="I1095" s="2"/>
    </row>
    <row r="1096" spans="1:9" x14ac:dyDescent="0.25">
      <c r="A1096" s="28"/>
      <c r="B1096" s="28"/>
      <c r="C1096" s="56" t="s">
        <v>100</v>
      </c>
      <c r="D1096" s="52">
        <f>D1097</f>
        <v>-313823986</v>
      </c>
      <c r="E1096" s="52">
        <f t="shared" ref="E1096:F1096" si="539">E1097</f>
        <v>-313823986</v>
      </c>
      <c r="F1096" s="52">
        <f t="shared" si="539"/>
        <v>-310054000</v>
      </c>
      <c r="G1096" s="52">
        <f t="shared" ref="G1096:G1097" si="540">F1096-E1096</f>
        <v>3769986</v>
      </c>
      <c r="I1096" s="2"/>
    </row>
    <row r="1097" spans="1:9" s="24" customFormat="1" x14ac:dyDescent="0.25">
      <c r="A1097" s="57"/>
      <c r="B1097" s="57"/>
      <c r="C1097" s="61" t="s">
        <v>146</v>
      </c>
      <c r="D1097" s="62">
        <v>-313823986</v>
      </c>
      <c r="E1097" s="62">
        <f t="shared" ref="E1097" si="541">D1097</f>
        <v>-313823986</v>
      </c>
      <c r="F1097" s="62">
        <v>-310054000</v>
      </c>
      <c r="G1097" s="62">
        <f t="shared" si="540"/>
        <v>3769986</v>
      </c>
      <c r="H1097" s="25"/>
      <c r="I1097" s="2"/>
    </row>
    <row r="1098" spans="1:9" x14ac:dyDescent="0.25">
      <c r="A1098" s="51"/>
      <c r="B1098" s="51" t="s">
        <v>88</v>
      </c>
      <c r="C1098" s="59"/>
      <c r="D1098" s="54">
        <f>SUM(D1099:D1101)</f>
        <v>-6756567</v>
      </c>
      <c r="E1098" s="54">
        <f>SUM(E1099:E1101)</f>
        <v>-12691731.859999999</v>
      </c>
      <c r="F1098" s="55">
        <f>SUM(F1099:F1101)</f>
        <v>-10639516.23</v>
      </c>
      <c r="G1098" s="54">
        <f>F1098-E1098</f>
        <v>2052215.629999999</v>
      </c>
      <c r="I1098" s="2"/>
    </row>
    <row r="1099" spans="1:9" x14ac:dyDescent="0.25">
      <c r="A1099" s="28"/>
      <c r="B1099" s="28"/>
      <c r="C1099" s="56" t="s">
        <v>89</v>
      </c>
      <c r="D1099" s="52">
        <f>D1103+D1108+D1111</f>
        <v>-2654728</v>
      </c>
      <c r="E1099" s="52">
        <f t="shared" ref="E1099:F1099" si="542">E1103+E1108+E1111</f>
        <v>-5969216.4399999995</v>
      </c>
      <c r="F1099" s="52">
        <f t="shared" si="542"/>
        <v>-5157635.7200000007</v>
      </c>
      <c r="G1099" s="52">
        <f t="shared" ref="G1099:G1101" si="543">F1099-E1099</f>
        <v>811580.71999999881</v>
      </c>
      <c r="I1099" s="2"/>
    </row>
    <row r="1100" spans="1:9" x14ac:dyDescent="0.25">
      <c r="A1100" s="28"/>
      <c r="B1100" s="28"/>
      <c r="C1100" s="56" t="s">
        <v>90</v>
      </c>
      <c r="D1100" s="52">
        <f>D1104+D1109+D1112</f>
        <v>-2718066</v>
      </c>
      <c r="E1100" s="52">
        <f t="shared" ref="E1100:F1100" si="544">E1104+E1109+E1112</f>
        <v>-5338742.42</v>
      </c>
      <c r="F1100" s="52">
        <f t="shared" si="544"/>
        <v>-3087454.41</v>
      </c>
      <c r="G1100" s="52">
        <f t="shared" si="543"/>
        <v>2251288.0099999998</v>
      </c>
      <c r="I1100" s="2"/>
    </row>
    <row r="1101" spans="1:9" x14ac:dyDescent="0.25">
      <c r="A1101" s="28"/>
      <c r="B1101" s="28"/>
      <c r="C1101" s="56" t="s">
        <v>91</v>
      </c>
      <c r="D1101" s="52">
        <f>D1113</f>
        <v>-1383773</v>
      </c>
      <c r="E1101" s="52">
        <f t="shared" ref="E1101" si="545">E1113</f>
        <v>-1383773</v>
      </c>
      <c r="F1101" s="52">
        <f>F1113+F1106</f>
        <v>-2394426.1</v>
      </c>
      <c r="G1101" s="52">
        <f t="shared" si="543"/>
        <v>-1010653.1000000001</v>
      </c>
      <c r="I1101" s="2"/>
    </row>
    <row r="1102" spans="1:9" x14ac:dyDescent="0.25">
      <c r="A1102" s="51"/>
      <c r="B1102" s="51"/>
      <c r="C1102" s="59" t="s">
        <v>79</v>
      </c>
      <c r="D1102" s="54">
        <f>SUM(D1103:D1104)</f>
        <v>-2705134</v>
      </c>
      <c r="E1102" s="54">
        <f>SUM(E1103:E1104)</f>
        <v>-4245754.6999999993</v>
      </c>
      <c r="F1102" s="54">
        <f>SUM(F1103:F1104)</f>
        <v>-3521884.55</v>
      </c>
      <c r="G1102" s="54">
        <f>F1102-E1102</f>
        <v>723870.14999999944</v>
      </c>
      <c r="I1102" s="2"/>
    </row>
    <row r="1103" spans="1:9" x14ac:dyDescent="0.25">
      <c r="A1103" s="28"/>
      <c r="B1103" s="28"/>
      <c r="C1103" s="56" t="s">
        <v>89</v>
      </c>
      <c r="D1103" s="52">
        <v>-1282255</v>
      </c>
      <c r="E1103" s="52">
        <f>D1103-843933.51</f>
        <v>-2126188.5099999998</v>
      </c>
      <c r="F1103" s="52">
        <v>-1880538</v>
      </c>
      <c r="G1103" s="52">
        <f t="shared" ref="G1103:G1113" si="546">F1103-E1103</f>
        <v>245650.50999999978</v>
      </c>
      <c r="I1103" s="2"/>
    </row>
    <row r="1104" spans="1:9" x14ac:dyDescent="0.25">
      <c r="A1104" s="28"/>
      <c r="B1104" s="28"/>
      <c r="C1104" s="28" t="s">
        <v>90</v>
      </c>
      <c r="D1104" s="53">
        <v>-1422879</v>
      </c>
      <c r="E1104" s="53">
        <f>D1104-683143.19-13544</f>
        <v>-2119566.19</v>
      </c>
      <c r="F1104" s="53">
        <f>-1641345.55-1</f>
        <v>-1641346.55</v>
      </c>
      <c r="G1104" s="53">
        <f t="shared" si="546"/>
        <v>478219.6399999999</v>
      </c>
      <c r="I1104" s="2"/>
    </row>
    <row r="1105" spans="1:9" x14ac:dyDescent="0.25">
      <c r="A1105" s="28"/>
      <c r="B1105" s="28"/>
      <c r="C1105" s="59" t="s">
        <v>80</v>
      </c>
      <c r="D1105" s="52">
        <f>D1106</f>
        <v>0</v>
      </c>
      <c r="E1105" s="52">
        <f>E1106</f>
        <v>0</v>
      </c>
      <c r="F1105" s="52">
        <f>F1106</f>
        <v>1241.81</v>
      </c>
      <c r="G1105" s="52">
        <f t="shared" si="546"/>
        <v>1241.81</v>
      </c>
      <c r="I1105" s="2"/>
    </row>
    <row r="1106" spans="1:9" x14ac:dyDescent="0.25">
      <c r="A1106" s="28"/>
      <c r="B1106" s="28"/>
      <c r="C1106" s="56" t="s">
        <v>95</v>
      </c>
      <c r="D1106" s="52">
        <v>0</v>
      </c>
      <c r="E1106" s="52">
        <v>0</v>
      </c>
      <c r="F1106" s="53">
        <v>1241.81</v>
      </c>
      <c r="G1106" s="52">
        <f t="shared" si="546"/>
        <v>1241.81</v>
      </c>
      <c r="I1106" s="2"/>
    </row>
    <row r="1107" spans="1:9" x14ac:dyDescent="0.25">
      <c r="A1107" s="51"/>
      <c r="B1107" s="51"/>
      <c r="C1107" s="59" t="s">
        <v>81</v>
      </c>
      <c r="D1107" s="54">
        <f>SUM(D1108:D1109)</f>
        <v>-221981</v>
      </c>
      <c r="E1107" s="54">
        <f t="shared" ref="E1107:F1107" si="547">SUM(E1108:E1109)</f>
        <v>-914125.49</v>
      </c>
      <c r="F1107" s="54">
        <f t="shared" si="547"/>
        <v>-609951.59</v>
      </c>
      <c r="G1107" s="54">
        <f>F1107-E1107</f>
        <v>304173.90000000002</v>
      </c>
      <c r="I1107" s="2"/>
    </row>
    <row r="1108" spans="1:9" x14ac:dyDescent="0.25">
      <c r="A1108" s="28"/>
      <c r="B1108" s="28"/>
      <c r="C1108" s="56" t="s">
        <v>89</v>
      </c>
      <c r="D1108" s="52">
        <v>-203457</v>
      </c>
      <c r="E1108" s="52">
        <f>D1108-593951.49</f>
        <v>-797408.49</v>
      </c>
      <c r="F1108" s="52">
        <v>-517822.64</v>
      </c>
      <c r="G1108" s="52">
        <f t="shared" ref="G1108:G1109" si="548">F1108-E1108</f>
        <v>279585.84999999998</v>
      </c>
      <c r="I1108" s="2"/>
    </row>
    <row r="1109" spans="1:9" x14ac:dyDescent="0.25">
      <c r="A1109" s="28"/>
      <c r="B1109" s="28"/>
      <c r="C1109" s="56" t="s">
        <v>90</v>
      </c>
      <c r="D1109" s="52">
        <v>-18524</v>
      </c>
      <c r="E1109" s="52">
        <f>D1109-98193</f>
        <v>-116717</v>
      </c>
      <c r="F1109" s="52">
        <v>-92128.95</v>
      </c>
      <c r="G1109" s="52">
        <f t="shared" si="548"/>
        <v>24588.050000000003</v>
      </c>
      <c r="I1109" s="2"/>
    </row>
    <row r="1110" spans="1:9" x14ac:dyDescent="0.25">
      <c r="A1110" s="51"/>
      <c r="B1110" s="51"/>
      <c r="C1110" s="59" t="s">
        <v>82</v>
      </c>
      <c r="D1110" s="54">
        <f>SUM(D1111:D1112)</f>
        <v>-2445679</v>
      </c>
      <c r="E1110" s="54">
        <f t="shared" ref="E1110" si="549">SUM(E1111:E1112)</f>
        <v>-6148078.6699999999</v>
      </c>
      <c r="F1110" s="54">
        <f t="shared" ref="F1110" si="550">SUM(F1111:F1112)</f>
        <v>-4113253.99</v>
      </c>
      <c r="G1110" s="54">
        <f>F1110-E1110</f>
        <v>2034824.6799999997</v>
      </c>
      <c r="I1110" s="2"/>
    </row>
    <row r="1111" spans="1:9" x14ac:dyDescent="0.25">
      <c r="A1111" s="28"/>
      <c r="B1111" s="28"/>
      <c r="C1111" s="56" t="s">
        <v>89</v>
      </c>
      <c r="D1111" s="52">
        <v>-1169016</v>
      </c>
      <c r="E1111" s="52">
        <f>D1111-1876603.44</f>
        <v>-3045619.44</v>
      </c>
      <c r="F1111" s="52">
        <v>-2759275.08</v>
      </c>
      <c r="G1111" s="52">
        <f t="shared" ref="G1111:G1112" si="551">F1111-E1111</f>
        <v>286344.35999999987</v>
      </c>
      <c r="I1111" s="2"/>
    </row>
    <row r="1112" spans="1:9" x14ac:dyDescent="0.25">
      <c r="A1112" s="28"/>
      <c r="B1112" s="28"/>
      <c r="C1112" s="56" t="s">
        <v>90</v>
      </c>
      <c r="D1112" s="52">
        <v>-1276663</v>
      </c>
      <c r="E1112" s="52">
        <f>D1112-1825796.23</f>
        <v>-3102459.23</v>
      </c>
      <c r="F1112" s="52">
        <v>-1353978.91</v>
      </c>
      <c r="G1112" s="52">
        <f t="shared" si="551"/>
        <v>1748480.32</v>
      </c>
      <c r="I1112" s="2"/>
    </row>
    <row r="1113" spans="1:9" s="14" customFormat="1" x14ac:dyDescent="0.25">
      <c r="A1113" s="51"/>
      <c r="B1113" s="51"/>
      <c r="C1113" s="59" t="s">
        <v>85</v>
      </c>
      <c r="D1113" s="54">
        <v>-1383773</v>
      </c>
      <c r="E1113" s="54">
        <f t="shared" ref="E1113" si="552">D1113</f>
        <v>-1383773</v>
      </c>
      <c r="F1113" s="54">
        <v>-2395667.91</v>
      </c>
      <c r="G1113" s="54">
        <f t="shared" si="546"/>
        <v>-1011894.9100000001</v>
      </c>
      <c r="H1113" s="9"/>
      <c r="I1113" s="2"/>
    </row>
    <row r="1114" spans="1:9" s="14" customFormat="1" ht="15.75" x14ac:dyDescent="0.25">
      <c r="A1114" s="39" t="s">
        <v>147</v>
      </c>
      <c r="B1114" s="51"/>
      <c r="C1114" s="59"/>
      <c r="D1114" s="54">
        <f>SUM(D1115:D1119)</f>
        <v>-907300</v>
      </c>
      <c r="E1114" s="54">
        <f>SUM(E1115:E1119)</f>
        <v>-1284160.8099999998</v>
      </c>
      <c r="F1114" s="54">
        <f>SUM(F1115:F1119)</f>
        <v>-1093650.6499999999</v>
      </c>
      <c r="G1114" s="54">
        <f>F1114-E1114</f>
        <v>190510.15999999992</v>
      </c>
      <c r="H1114" s="9"/>
      <c r="I1114" s="2"/>
    </row>
    <row r="1115" spans="1:9" x14ac:dyDescent="0.25">
      <c r="A1115" s="28"/>
      <c r="B1115" s="28" t="s">
        <v>79</v>
      </c>
      <c r="C1115" s="56"/>
      <c r="D1115" s="52">
        <f>D1125+D1141</f>
        <v>-875594</v>
      </c>
      <c r="E1115" s="52">
        <f>E1125+E1141</f>
        <v>-1142579.3899999999</v>
      </c>
      <c r="F1115" s="52">
        <f>F1125+F1141</f>
        <v>-951934.08000000007</v>
      </c>
      <c r="G1115" s="52">
        <f>F1115-E1115</f>
        <v>190645.30999999982</v>
      </c>
      <c r="I1115" s="2"/>
    </row>
    <row r="1116" spans="1:9" x14ac:dyDescent="0.25">
      <c r="A1116" s="28"/>
      <c r="B1116" s="59" t="s">
        <v>80</v>
      </c>
      <c r="C1116" s="56"/>
      <c r="D1116" s="52">
        <f>D1129</f>
        <v>0</v>
      </c>
      <c r="E1116" s="52">
        <f>E1129</f>
        <v>0</v>
      </c>
      <c r="F1116" s="52">
        <f>F1129</f>
        <v>-16.47</v>
      </c>
      <c r="G1116" s="52">
        <f>F1116-E1116</f>
        <v>-16.47</v>
      </c>
      <c r="I1116" s="2"/>
    </row>
    <row r="1117" spans="1:9" x14ac:dyDescent="0.25">
      <c r="A1117" s="28"/>
      <c r="B1117" s="28" t="s">
        <v>81</v>
      </c>
      <c r="C1117" s="56"/>
      <c r="D1117" s="52">
        <f>D1131+D1144</f>
        <v>-24754</v>
      </c>
      <c r="E1117" s="52">
        <f>E1131+E1144</f>
        <v>-129687.79000000001</v>
      </c>
      <c r="F1117" s="52">
        <f>F1131+F1144</f>
        <v>-123982.62999999999</v>
      </c>
      <c r="G1117" s="52">
        <f t="shared" ref="G1117:G1118" si="553">F1117-E1117</f>
        <v>5705.160000000018</v>
      </c>
      <c r="I1117" s="2"/>
    </row>
    <row r="1118" spans="1:9" x14ac:dyDescent="0.25">
      <c r="A1118" s="28"/>
      <c r="B1118" s="28" t="s">
        <v>82</v>
      </c>
      <c r="C1118" s="56"/>
      <c r="D1118" s="52">
        <f>D1147</f>
        <v>-1930</v>
      </c>
      <c r="E1118" s="52">
        <f>E1147+E1135</f>
        <v>-6871.6299999999992</v>
      </c>
      <c r="F1118" s="52">
        <f>F1147+F1135</f>
        <v>-6173.2</v>
      </c>
      <c r="G1118" s="52">
        <f t="shared" si="553"/>
        <v>698.42999999999938</v>
      </c>
      <c r="I1118" s="2"/>
    </row>
    <row r="1119" spans="1:9" x14ac:dyDescent="0.25">
      <c r="A1119" s="28"/>
      <c r="B1119" s="28" t="s">
        <v>85</v>
      </c>
      <c r="C1119" s="56"/>
      <c r="D1119" s="52">
        <f>D1150</f>
        <v>-5022</v>
      </c>
      <c r="E1119" s="52">
        <f t="shared" ref="E1119:F1119" si="554">E1150</f>
        <v>-5022</v>
      </c>
      <c r="F1119" s="52">
        <f t="shared" si="554"/>
        <v>-11544.27</v>
      </c>
      <c r="G1119" s="52">
        <f>F1119-E1119</f>
        <v>-6522.27</v>
      </c>
      <c r="I1119" s="2"/>
    </row>
    <row r="1120" spans="1:9" x14ac:dyDescent="0.25">
      <c r="A1120" s="51"/>
      <c r="B1120" s="51" t="s">
        <v>99</v>
      </c>
      <c r="C1120" s="59"/>
      <c r="D1120" s="54">
        <f>SUM(D1121:D1124)</f>
        <v>-870373</v>
      </c>
      <c r="E1120" s="54">
        <f>SUM(E1121:E1124)</f>
        <v>-1234337.8700000001</v>
      </c>
      <c r="F1120" s="54">
        <f>SUM(F1121:F1124)</f>
        <v>-1045513.7</v>
      </c>
      <c r="G1120" s="54">
        <f>F1120-E1120</f>
        <v>188824.17000000016</v>
      </c>
      <c r="I1120" s="2"/>
    </row>
    <row r="1121" spans="1:9" x14ac:dyDescent="0.25">
      <c r="A1121" s="28"/>
      <c r="B1121" s="28"/>
      <c r="C1121" s="56" t="s">
        <v>89</v>
      </c>
      <c r="D1121" s="52">
        <f>D1126+D1132</f>
        <v>-691860</v>
      </c>
      <c r="E1121" s="52">
        <f>E1126+E1132+E1136</f>
        <v>-969346.71</v>
      </c>
      <c r="F1121" s="52">
        <f>F1126+F1132+F1136</f>
        <v>-859425.21</v>
      </c>
      <c r="G1121" s="52">
        <f t="shared" ref="G1121:G1124" si="555">F1121-E1121</f>
        <v>109921.5</v>
      </c>
      <c r="I1121" s="2"/>
    </row>
    <row r="1122" spans="1:9" x14ac:dyDescent="0.25">
      <c r="A1122" s="28"/>
      <c r="B1122" s="28"/>
      <c r="C1122" s="56" t="s">
        <v>90</v>
      </c>
      <c r="D1122" s="52">
        <f>D1127+D1133</f>
        <v>-145470</v>
      </c>
      <c r="E1122" s="52">
        <f t="shared" ref="E1122:F1122" si="556">E1127+E1133</f>
        <v>-183965.53</v>
      </c>
      <c r="F1122" s="52">
        <f t="shared" si="556"/>
        <v>-109120.67000000001</v>
      </c>
      <c r="G1122" s="52">
        <f t="shared" si="555"/>
        <v>74844.859999999986</v>
      </c>
      <c r="I1122" s="2"/>
    </row>
    <row r="1123" spans="1:9" x14ac:dyDescent="0.25">
      <c r="A1123" s="28"/>
      <c r="B1123" s="28"/>
      <c r="C1123" s="56" t="s">
        <v>100</v>
      </c>
      <c r="D1123" s="52">
        <f>D1128+D1134</f>
        <v>-33043</v>
      </c>
      <c r="E1123" s="52">
        <f>E1128+E1134</f>
        <v>-81025.63</v>
      </c>
      <c r="F1123" s="52">
        <f>F1128+F1134</f>
        <v>-76951.350000000006</v>
      </c>
      <c r="G1123" s="52">
        <f t="shared" si="555"/>
        <v>4074.2799999999988</v>
      </c>
      <c r="I1123" s="2"/>
    </row>
    <row r="1124" spans="1:9" x14ac:dyDescent="0.25">
      <c r="A1124" s="28"/>
      <c r="B1124" s="28"/>
      <c r="C1124" s="56" t="s">
        <v>95</v>
      </c>
      <c r="D1124" s="52">
        <f>D1130</f>
        <v>0</v>
      </c>
      <c r="E1124" s="52">
        <f>E1130</f>
        <v>0</v>
      </c>
      <c r="F1124" s="52">
        <f>F1130</f>
        <v>-16.47</v>
      </c>
      <c r="G1124" s="52">
        <f t="shared" si="555"/>
        <v>-16.47</v>
      </c>
      <c r="I1124" s="2"/>
    </row>
    <row r="1125" spans="1:9" x14ac:dyDescent="0.25">
      <c r="A1125" s="51"/>
      <c r="B1125" s="51"/>
      <c r="C1125" s="59" t="s">
        <v>79</v>
      </c>
      <c r="D1125" s="65">
        <f>SUM(D1126:D1128)</f>
        <v>-853338</v>
      </c>
      <c r="E1125" s="54">
        <f t="shared" ref="E1125:F1125" si="557">SUM(E1126:E1128)</f>
        <v>-1121538.94</v>
      </c>
      <c r="F1125" s="54">
        <f t="shared" si="557"/>
        <v>-936887.06</v>
      </c>
      <c r="G1125" s="54">
        <f>F1125-E1125</f>
        <v>184651.87999999989</v>
      </c>
      <c r="I1125" s="2"/>
    </row>
    <row r="1126" spans="1:9" x14ac:dyDescent="0.25">
      <c r="A1126" s="28"/>
      <c r="B1126" s="28"/>
      <c r="C1126" s="56" t="s">
        <v>89</v>
      </c>
      <c r="D1126" s="52">
        <v>-691488</v>
      </c>
      <c r="E1126" s="52">
        <f>D1126-258736.45</f>
        <v>-950224.45</v>
      </c>
      <c r="F1126" s="52">
        <v>-841282.11</v>
      </c>
      <c r="G1126" s="52">
        <f t="shared" ref="G1126:G1127" si="558">F1126-E1126</f>
        <v>108942.33999999997</v>
      </c>
      <c r="I1126" s="2"/>
    </row>
    <row r="1127" spans="1:9" x14ac:dyDescent="0.25">
      <c r="A1127" s="28"/>
      <c r="B1127" s="28"/>
      <c r="C1127" s="56" t="s">
        <v>90</v>
      </c>
      <c r="D1127" s="52">
        <v>-128807</v>
      </c>
      <c r="E1127" s="52">
        <f>D1127-39181.94+3000</f>
        <v>-164988.94</v>
      </c>
      <c r="F1127" s="52">
        <v>-90149.77</v>
      </c>
      <c r="G1127" s="52">
        <f t="shared" si="558"/>
        <v>74839.17</v>
      </c>
      <c r="I1127" s="2"/>
    </row>
    <row r="1128" spans="1:9" x14ac:dyDescent="0.25">
      <c r="A1128" s="28"/>
      <c r="B1128" s="28"/>
      <c r="C1128" s="56" t="s">
        <v>100</v>
      </c>
      <c r="D1128" s="52">
        <v>-33043</v>
      </c>
      <c r="E1128" s="52">
        <f>D1128+29717.45-3000</f>
        <v>-6325.5499999999993</v>
      </c>
      <c r="F1128" s="52">
        <v>-5455.18</v>
      </c>
      <c r="G1128" s="52">
        <f t="shared" ref="G1128:G1130" si="559">F1128-E1128</f>
        <v>870.36999999999898</v>
      </c>
      <c r="I1128" s="2"/>
    </row>
    <row r="1129" spans="1:9" x14ac:dyDescent="0.25">
      <c r="A1129" s="28"/>
      <c r="B1129" s="28"/>
      <c r="C1129" s="59" t="s">
        <v>80</v>
      </c>
      <c r="D1129" s="52">
        <f>D1130</f>
        <v>0</v>
      </c>
      <c r="E1129" s="52">
        <f>E1130</f>
        <v>0</v>
      </c>
      <c r="F1129" s="52">
        <f>F1130</f>
        <v>-16.47</v>
      </c>
      <c r="G1129" s="52">
        <f t="shared" si="559"/>
        <v>-16.47</v>
      </c>
      <c r="I1129" s="2"/>
    </row>
    <row r="1130" spans="1:9" x14ac:dyDescent="0.25">
      <c r="A1130" s="28"/>
      <c r="B1130" s="28"/>
      <c r="C1130" s="56" t="s">
        <v>95</v>
      </c>
      <c r="D1130" s="52">
        <v>0</v>
      </c>
      <c r="E1130" s="52">
        <v>0</v>
      </c>
      <c r="F1130" s="52">
        <v>-16.47</v>
      </c>
      <c r="G1130" s="52">
        <f t="shared" si="559"/>
        <v>-16.47</v>
      </c>
      <c r="I1130" s="2"/>
    </row>
    <row r="1131" spans="1:9" x14ac:dyDescent="0.25">
      <c r="A1131" s="51"/>
      <c r="B1131" s="51"/>
      <c r="C1131" s="59" t="s">
        <v>81</v>
      </c>
      <c r="D1131" s="54">
        <f>SUM(D1132:D1134)</f>
        <v>-17035</v>
      </c>
      <c r="E1131" s="54">
        <f>SUM(E1132:E1134)</f>
        <v>-112736.52</v>
      </c>
      <c r="F1131" s="54">
        <f>SUM(F1132:F1134)</f>
        <v>-108547.76</v>
      </c>
      <c r="G1131" s="54">
        <f>F1131-E1131</f>
        <v>4188.7600000000093</v>
      </c>
      <c r="I1131" s="2"/>
    </row>
    <row r="1132" spans="1:9" x14ac:dyDescent="0.25">
      <c r="A1132" s="28"/>
      <c r="B1132" s="28"/>
      <c r="C1132" s="56" t="s">
        <v>89</v>
      </c>
      <c r="D1132" s="52">
        <v>-372</v>
      </c>
      <c r="E1132" s="52">
        <f>D1132-18687.85</f>
        <v>-19059.849999999999</v>
      </c>
      <c r="F1132" s="52">
        <v>-18080.689999999999</v>
      </c>
      <c r="G1132" s="52">
        <f t="shared" ref="G1132:G1136" si="560">F1132-E1132</f>
        <v>979.15999999999985</v>
      </c>
      <c r="I1132" s="2"/>
    </row>
    <row r="1133" spans="1:9" x14ac:dyDescent="0.25">
      <c r="A1133" s="28"/>
      <c r="B1133" s="28"/>
      <c r="C1133" s="56" t="s">
        <v>90</v>
      </c>
      <c r="D1133" s="52">
        <v>-16663</v>
      </c>
      <c r="E1133" s="52">
        <f>D1133-2313.59</f>
        <v>-18976.59</v>
      </c>
      <c r="F1133" s="52">
        <v>-18970.900000000001</v>
      </c>
      <c r="G1133" s="52">
        <f t="shared" si="560"/>
        <v>5.6899999999986903</v>
      </c>
      <c r="I1133" s="2"/>
    </row>
    <row r="1134" spans="1:9" x14ac:dyDescent="0.25">
      <c r="A1134" s="28"/>
      <c r="B1134" s="28"/>
      <c r="C1134" s="56" t="s">
        <v>100</v>
      </c>
      <c r="D1134" s="52">
        <v>0</v>
      </c>
      <c r="E1134" s="52">
        <v>-74700.08</v>
      </c>
      <c r="F1134" s="52">
        <v>-71496.17</v>
      </c>
      <c r="G1134" s="52">
        <f t="shared" si="560"/>
        <v>3203.9100000000035</v>
      </c>
      <c r="I1134" s="2"/>
    </row>
    <row r="1135" spans="1:9" x14ac:dyDescent="0.25">
      <c r="A1135" s="28"/>
      <c r="B1135" s="28"/>
      <c r="C1135" s="59" t="s">
        <v>82</v>
      </c>
      <c r="D1135" s="52">
        <f>D1136</f>
        <v>0</v>
      </c>
      <c r="E1135" s="52">
        <f>E1136</f>
        <v>-62.41</v>
      </c>
      <c r="F1135" s="52">
        <f>F1136</f>
        <v>-62.41</v>
      </c>
      <c r="G1135" s="52">
        <f t="shared" si="560"/>
        <v>0</v>
      </c>
      <c r="I1135" s="2"/>
    </row>
    <row r="1136" spans="1:9" x14ac:dyDescent="0.25">
      <c r="A1136" s="28"/>
      <c r="B1136" s="28"/>
      <c r="C1136" s="56" t="s">
        <v>89</v>
      </c>
      <c r="D1136" s="52">
        <v>0</v>
      </c>
      <c r="E1136" s="52">
        <v>-62.41</v>
      </c>
      <c r="F1136" s="52">
        <v>-62.41</v>
      </c>
      <c r="G1136" s="52">
        <f t="shared" si="560"/>
        <v>0</v>
      </c>
      <c r="I1136" s="2"/>
    </row>
    <row r="1137" spans="1:9" x14ac:dyDescent="0.25">
      <c r="A1137" s="51"/>
      <c r="B1137" s="51" t="s">
        <v>88</v>
      </c>
      <c r="C1137" s="59"/>
      <c r="D1137" s="54">
        <f>SUM(D1138:D1140)</f>
        <v>-36927</v>
      </c>
      <c r="E1137" s="54">
        <f>SUM(E1138:E1140)</f>
        <v>-49822.939999999995</v>
      </c>
      <c r="F1137" s="54">
        <f>SUM(F1138:F1140)</f>
        <v>-48136.95</v>
      </c>
      <c r="G1137" s="54">
        <f>F1137-E1137</f>
        <v>1685.989999999998</v>
      </c>
      <c r="I1137" s="2"/>
    </row>
    <row r="1138" spans="1:9" x14ac:dyDescent="0.25">
      <c r="A1138" s="28"/>
      <c r="B1138" s="28"/>
      <c r="C1138" s="56" t="s">
        <v>89</v>
      </c>
      <c r="D1138" s="52">
        <f>D1142+D1145+D1148</f>
        <v>-23899</v>
      </c>
      <c r="E1138" s="52">
        <f t="shared" ref="E1138:F1138" si="561">E1142+E1145+E1148</f>
        <v>-22690.329999999998</v>
      </c>
      <c r="F1138" s="52">
        <f t="shared" si="561"/>
        <v>-19118.740000000002</v>
      </c>
      <c r="G1138" s="52">
        <f t="shared" ref="G1138:G1140" si="562">F1138-E1138</f>
        <v>3571.5899999999965</v>
      </c>
      <c r="I1138" s="2"/>
    </row>
    <row r="1139" spans="1:9" x14ac:dyDescent="0.25">
      <c r="A1139" s="28"/>
      <c r="B1139" s="28"/>
      <c r="C1139" s="56" t="s">
        <v>90</v>
      </c>
      <c r="D1139" s="52">
        <f>D1143+D1146+D1149</f>
        <v>-8006</v>
      </c>
      <c r="E1139" s="52">
        <f t="shared" ref="E1139:F1139" si="563">E1143+E1146+E1149</f>
        <v>-22110.609999999997</v>
      </c>
      <c r="F1139" s="52">
        <f t="shared" si="563"/>
        <v>-17473.939999999999</v>
      </c>
      <c r="G1139" s="52">
        <f t="shared" si="562"/>
        <v>4636.6699999999983</v>
      </c>
      <c r="I1139" s="2"/>
    </row>
    <row r="1140" spans="1:9" x14ac:dyDescent="0.25">
      <c r="A1140" s="28"/>
      <c r="B1140" s="28"/>
      <c r="C1140" s="56" t="s">
        <v>91</v>
      </c>
      <c r="D1140" s="52">
        <f>D1150</f>
        <v>-5022</v>
      </c>
      <c r="E1140" s="52">
        <f t="shared" ref="E1140:F1140" si="564">E1150</f>
        <v>-5022</v>
      </c>
      <c r="F1140" s="52">
        <f t="shared" si="564"/>
        <v>-11544.27</v>
      </c>
      <c r="G1140" s="52">
        <f t="shared" si="562"/>
        <v>-6522.27</v>
      </c>
      <c r="I1140" s="2"/>
    </row>
    <row r="1141" spans="1:9" x14ac:dyDescent="0.25">
      <c r="A1141" s="51"/>
      <c r="B1141" s="51"/>
      <c r="C1141" s="59" t="s">
        <v>79</v>
      </c>
      <c r="D1141" s="54">
        <f>SUM(D1142:D1143)</f>
        <v>-22256</v>
      </c>
      <c r="E1141" s="54">
        <f>SUM(E1142:E1143)</f>
        <v>-21040.45</v>
      </c>
      <c r="F1141" s="54">
        <f>SUM(F1142:F1143)</f>
        <v>-15047.02</v>
      </c>
      <c r="G1141" s="54">
        <f>F1141-E1141</f>
        <v>5993.43</v>
      </c>
      <c r="I1141" s="2"/>
    </row>
    <row r="1142" spans="1:9" x14ac:dyDescent="0.25">
      <c r="A1142" s="28"/>
      <c r="B1142" s="28"/>
      <c r="C1142" s="56" t="s">
        <v>89</v>
      </c>
      <c r="D1142" s="52">
        <v>-15863</v>
      </c>
      <c r="E1142" s="52">
        <f>D1142+2529.47</f>
        <v>-13333.53</v>
      </c>
      <c r="F1142" s="52">
        <v>-10754.65</v>
      </c>
      <c r="G1142" s="52">
        <f t="shared" ref="G1142:G1143" si="565">F1142-E1142</f>
        <v>2578.880000000001</v>
      </c>
      <c r="I1142" s="2"/>
    </row>
    <row r="1143" spans="1:9" x14ac:dyDescent="0.25">
      <c r="A1143" s="28"/>
      <c r="B1143" s="28"/>
      <c r="C1143" s="56" t="s">
        <v>90</v>
      </c>
      <c r="D1143" s="52">
        <v>-6393</v>
      </c>
      <c r="E1143" s="52">
        <f>D1143-1313.92</f>
        <v>-7706.92</v>
      </c>
      <c r="F1143" s="52">
        <v>-4292.37</v>
      </c>
      <c r="G1143" s="52">
        <f t="shared" si="565"/>
        <v>3414.55</v>
      </c>
      <c r="I1143" s="2"/>
    </row>
    <row r="1144" spans="1:9" x14ac:dyDescent="0.25">
      <c r="A1144" s="51"/>
      <c r="B1144" s="51"/>
      <c r="C1144" s="59" t="s">
        <v>81</v>
      </c>
      <c r="D1144" s="54">
        <f>SUM(D1145:D1146)</f>
        <v>-7719</v>
      </c>
      <c r="E1144" s="54">
        <f t="shared" ref="E1144" si="566">SUM(E1145:E1146)</f>
        <v>-16951.27</v>
      </c>
      <c r="F1144" s="54">
        <f t="shared" ref="F1144" si="567">SUM(F1145:F1146)</f>
        <v>-15434.869999999999</v>
      </c>
      <c r="G1144" s="54">
        <f>F1144-E1144</f>
        <v>1516.4000000000015</v>
      </c>
      <c r="I1144" s="2"/>
    </row>
    <row r="1145" spans="1:9" x14ac:dyDescent="0.25">
      <c r="A1145" s="28"/>
      <c r="B1145" s="28"/>
      <c r="C1145" s="28" t="s">
        <v>89</v>
      </c>
      <c r="D1145" s="53">
        <v>-6429</v>
      </c>
      <c r="E1145" s="53">
        <f>D1145+967.05</f>
        <v>-5461.95</v>
      </c>
      <c r="F1145" s="53">
        <v>-4469.62</v>
      </c>
      <c r="G1145" s="53">
        <f t="shared" ref="G1145:G1146" si="568">F1145-E1145</f>
        <v>992.32999999999993</v>
      </c>
      <c r="I1145" s="2"/>
    </row>
    <row r="1146" spans="1:9" x14ac:dyDescent="0.25">
      <c r="A1146" s="28"/>
      <c r="B1146" s="28"/>
      <c r="C1146" s="28" t="s">
        <v>90</v>
      </c>
      <c r="D1146" s="53">
        <v>-1290</v>
      </c>
      <c r="E1146" s="53">
        <f>D1146-10199.32</f>
        <v>-11489.32</v>
      </c>
      <c r="F1146" s="53">
        <v>-10965.25</v>
      </c>
      <c r="G1146" s="53">
        <f t="shared" si="568"/>
        <v>524.06999999999971</v>
      </c>
      <c r="I1146" s="2"/>
    </row>
    <row r="1147" spans="1:9" x14ac:dyDescent="0.25">
      <c r="A1147" s="51"/>
      <c r="B1147" s="51"/>
      <c r="C1147" s="51" t="s">
        <v>82</v>
      </c>
      <c r="D1147" s="65">
        <f>SUM(D1148:D1149)</f>
        <v>-1930</v>
      </c>
      <c r="E1147" s="65">
        <f t="shared" ref="E1147" si="569">SUM(E1148:E1149)</f>
        <v>-6809.2199999999993</v>
      </c>
      <c r="F1147" s="65">
        <f t="shared" ref="F1147" si="570">SUM(F1148:F1149)</f>
        <v>-6110.79</v>
      </c>
      <c r="G1147" s="65">
        <f>F1147-E1147</f>
        <v>698.42999999999938</v>
      </c>
      <c r="I1147" s="2"/>
    </row>
    <row r="1148" spans="1:9" x14ac:dyDescent="0.25">
      <c r="A1148" s="28"/>
      <c r="B1148" s="28"/>
      <c r="C1148" s="28" t="s">
        <v>89</v>
      </c>
      <c r="D1148" s="52">
        <v>-1607</v>
      </c>
      <c r="E1148" s="52">
        <f>D1148-2287.85</f>
        <v>-3894.85</v>
      </c>
      <c r="F1148" s="52">
        <v>-3894.47</v>
      </c>
      <c r="G1148" s="52">
        <f t="shared" ref="G1148:G1150" si="571">F1148-E1148</f>
        <v>0.38000000000010914</v>
      </c>
      <c r="I1148" s="2"/>
    </row>
    <row r="1149" spans="1:9" x14ac:dyDescent="0.25">
      <c r="A1149" s="28"/>
      <c r="B1149" s="28"/>
      <c r="C1149" s="28" t="s">
        <v>90</v>
      </c>
      <c r="D1149" s="52">
        <v>-323</v>
      </c>
      <c r="E1149" s="52">
        <f>D1149-2591.37</f>
        <v>-2914.37</v>
      </c>
      <c r="F1149" s="52">
        <v>-2216.3200000000002</v>
      </c>
      <c r="G1149" s="52">
        <f t="shared" si="571"/>
        <v>698.04999999999973</v>
      </c>
      <c r="I1149" s="2"/>
    </row>
    <row r="1150" spans="1:9" s="14" customFormat="1" x14ac:dyDescent="0.25">
      <c r="A1150" s="51"/>
      <c r="B1150" s="51"/>
      <c r="C1150" s="51" t="s">
        <v>85</v>
      </c>
      <c r="D1150" s="54">
        <v>-5022</v>
      </c>
      <c r="E1150" s="54">
        <f t="shared" ref="E1150" si="572">D1150</f>
        <v>-5022</v>
      </c>
      <c r="F1150" s="54">
        <v>-11544.27</v>
      </c>
      <c r="G1150" s="54">
        <f t="shared" si="571"/>
        <v>-6522.27</v>
      </c>
      <c r="H1150" s="9"/>
      <c r="I1150" s="2"/>
    </row>
    <row r="1151" spans="1:9" s="14" customFormat="1" ht="15.75" x14ac:dyDescent="0.25">
      <c r="A1151" s="39" t="s">
        <v>148</v>
      </c>
      <c r="B1151" s="51"/>
      <c r="C1151" s="51"/>
      <c r="D1151" s="54">
        <f>SUM(D1152:D1156)</f>
        <v>-10596162</v>
      </c>
      <c r="E1151" s="54">
        <f>SUM(E1152:E1156)</f>
        <v>-16333473.900000002</v>
      </c>
      <c r="F1151" s="54">
        <f>SUM(F1152:F1156)</f>
        <v>-9978736.089999998</v>
      </c>
      <c r="G1151" s="54">
        <f>F1151-E1151</f>
        <v>6354737.8100000042</v>
      </c>
      <c r="H1151" s="9"/>
      <c r="I1151" s="2"/>
    </row>
    <row r="1152" spans="1:9" x14ac:dyDescent="0.25">
      <c r="A1152" s="28"/>
      <c r="B1152" s="28" t="s">
        <v>79</v>
      </c>
      <c r="C1152" s="28"/>
      <c r="D1152" s="52">
        <f>D1162+D1180+D1193</f>
        <v>-3530594</v>
      </c>
      <c r="E1152" s="52">
        <f t="shared" ref="E1152:F1152" si="573">E1162+E1180+E1193</f>
        <v>-3371310.91</v>
      </c>
      <c r="F1152" s="52">
        <f t="shared" si="573"/>
        <v>-3231686.8</v>
      </c>
      <c r="G1152" s="52">
        <f>F1152-E1152</f>
        <v>139624.11000000034</v>
      </c>
      <c r="I1152" s="2"/>
    </row>
    <row r="1153" spans="1:9" x14ac:dyDescent="0.25">
      <c r="A1153" s="28"/>
      <c r="B1153" s="28" t="s">
        <v>80</v>
      </c>
      <c r="C1153" s="28"/>
      <c r="D1153" s="52">
        <f>D1183+D1167+D1196</f>
        <v>-245000</v>
      </c>
      <c r="E1153" s="52">
        <f>E1183+E1196+E1167</f>
        <v>-245000</v>
      </c>
      <c r="F1153" s="52">
        <f>F1183+F1196+F1167</f>
        <v>-75028.59</v>
      </c>
      <c r="G1153" s="52">
        <f>F1153-E1153</f>
        <v>169971.41</v>
      </c>
      <c r="I1153" s="2"/>
    </row>
    <row r="1154" spans="1:9" x14ac:dyDescent="0.25">
      <c r="A1154" s="28"/>
      <c r="B1154" s="28" t="s">
        <v>81</v>
      </c>
      <c r="C1154" s="28"/>
      <c r="D1154" s="52">
        <f>D1168+D1198</f>
        <v>-110871</v>
      </c>
      <c r="E1154" s="52">
        <f>E1168+E1198</f>
        <v>-326038.27</v>
      </c>
      <c r="F1154" s="52">
        <f>F1168+F1198</f>
        <v>-247943.66</v>
      </c>
      <c r="G1154" s="52">
        <f t="shared" ref="G1154:G1155" si="574">F1154-E1154</f>
        <v>78094.610000000015</v>
      </c>
      <c r="I1154" s="2"/>
    </row>
    <row r="1155" spans="1:9" x14ac:dyDescent="0.25">
      <c r="A1155" s="28"/>
      <c r="B1155" s="28" t="s">
        <v>82</v>
      </c>
      <c r="C1155" s="28"/>
      <c r="D1155" s="52">
        <f>D1171+D1186</f>
        <v>-6131098</v>
      </c>
      <c r="E1155" s="52">
        <f>E1171+E1186</f>
        <v>-11827083.980000002</v>
      </c>
      <c r="F1155" s="52">
        <f>F1171+F1186</f>
        <v>-5940848.4999999991</v>
      </c>
      <c r="G1155" s="52">
        <f t="shared" si="574"/>
        <v>5886235.4800000032</v>
      </c>
      <c r="I1155" s="2"/>
    </row>
    <row r="1156" spans="1:9" x14ac:dyDescent="0.25">
      <c r="A1156" s="28"/>
      <c r="B1156" s="28" t="s">
        <v>85</v>
      </c>
      <c r="C1156" s="28"/>
      <c r="D1156" s="52">
        <f>D1175+D1200</f>
        <v>-578599</v>
      </c>
      <c r="E1156" s="52">
        <f>E1175+E1200</f>
        <v>-564040.74</v>
      </c>
      <c r="F1156" s="52">
        <f>F1175+F1200</f>
        <v>-483228.54</v>
      </c>
      <c r="G1156" s="52">
        <f>F1156-E1156</f>
        <v>80812.200000000012</v>
      </c>
      <c r="I1156" s="2"/>
    </row>
    <row r="1157" spans="1:9" x14ac:dyDescent="0.25">
      <c r="A1157" s="51"/>
      <c r="B1157" s="51" t="s">
        <v>149</v>
      </c>
      <c r="C1157" s="51"/>
      <c r="D1157" s="54">
        <f>SUM(D1158:D1161)</f>
        <v>-8172125</v>
      </c>
      <c r="E1157" s="54">
        <f t="shared" ref="E1157:F1157" si="575">SUM(E1158:E1161)</f>
        <v>-13912553.33</v>
      </c>
      <c r="F1157" s="54">
        <f t="shared" si="575"/>
        <v>-7935861.8199999994</v>
      </c>
      <c r="G1157" s="54">
        <f>F1157-E1157</f>
        <v>5976691.5100000007</v>
      </c>
      <c r="I1157" s="2"/>
    </row>
    <row r="1158" spans="1:9" x14ac:dyDescent="0.25">
      <c r="A1158" s="28"/>
      <c r="B1158" s="28"/>
      <c r="C1158" s="28" t="s">
        <v>89</v>
      </c>
      <c r="D1158" s="52">
        <f>D1163+D1169+D1172</f>
        <v>-7496498</v>
      </c>
      <c r="E1158" s="52">
        <f t="shared" ref="E1158:F1158" si="576">E1163+E1169+E1172</f>
        <v>-12872588.439999999</v>
      </c>
      <c r="F1158" s="52">
        <f t="shared" si="576"/>
        <v>-7268181.4299999997</v>
      </c>
      <c r="G1158" s="52">
        <f t="shared" ref="G1158:G1160" si="577">F1158-E1158</f>
        <v>5604407.0099999998</v>
      </c>
      <c r="I1158" s="2"/>
    </row>
    <row r="1159" spans="1:9" x14ac:dyDescent="0.25">
      <c r="A1159" s="28"/>
      <c r="B1159" s="28"/>
      <c r="C1159" s="28" t="s">
        <v>90</v>
      </c>
      <c r="D1159" s="52">
        <f>D1164+D1170+D1173</f>
        <v>-591884</v>
      </c>
      <c r="E1159" s="52">
        <f t="shared" ref="E1159:F1159" si="578">E1164+E1170+E1173</f>
        <v>-954199.69</v>
      </c>
      <c r="F1159" s="52">
        <f t="shared" si="578"/>
        <v>-591261.15</v>
      </c>
      <c r="G1159" s="52">
        <f t="shared" si="577"/>
        <v>362938.53999999992</v>
      </c>
      <c r="I1159" s="2"/>
    </row>
    <row r="1160" spans="1:9" x14ac:dyDescent="0.25">
      <c r="A1160" s="28"/>
      <c r="B1160" s="28"/>
      <c r="C1160" s="28" t="s">
        <v>100</v>
      </c>
      <c r="D1160" s="52">
        <f>D1165</f>
        <v>-10284</v>
      </c>
      <c r="E1160" s="52">
        <f t="shared" ref="E1160:F1160" si="579">E1165</f>
        <v>-11782.99</v>
      </c>
      <c r="F1160" s="52">
        <f t="shared" si="579"/>
        <v>-11782.35</v>
      </c>
      <c r="G1160" s="52">
        <f t="shared" si="577"/>
        <v>0.63999999999941792</v>
      </c>
      <c r="I1160" s="2"/>
    </row>
    <row r="1161" spans="1:9" x14ac:dyDescent="0.25">
      <c r="A1161" s="28"/>
      <c r="B1161" s="28"/>
      <c r="C1161" s="28" t="s">
        <v>91</v>
      </c>
      <c r="D1161" s="52">
        <f>D1174+D1175+D1167</f>
        <v>-73459</v>
      </c>
      <c r="E1161" s="52">
        <f>E1174+E1175+E1167</f>
        <v>-73982.210000000006</v>
      </c>
      <c r="F1161" s="52">
        <f>F1174+F1175+F1167</f>
        <v>-64636.89</v>
      </c>
      <c r="G1161" s="52">
        <f t="shared" ref="G1161" si="580">F1161-E1161</f>
        <v>9345.320000000007</v>
      </c>
      <c r="I1161" s="2"/>
    </row>
    <row r="1162" spans="1:9" x14ac:dyDescent="0.25">
      <c r="A1162" s="51"/>
      <c r="B1162" s="51"/>
      <c r="C1162" s="51" t="s">
        <v>79</v>
      </c>
      <c r="D1162" s="55">
        <f>SUM(D1163:D1165)</f>
        <v>-1856762</v>
      </c>
      <c r="E1162" s="55">
        <f t="shared" ref="E1162" si="581">SUM(E1163:E1165)</f>
        <v>-1870052.59</v>
      </c>
      <c r="F1162" s="55">
        <f t="shared" ref="F1162" si="582">SUM(F1163:F1165)</f>
        <v>-1866836.48</v>
      </c>
      <c r="G1162" s="55">
        <f>F1162-E1162</f>
        <v>3216.1100000001024</v>
      </c>
      <c r="I1162" s="2"/>
    </row>
    <row r="1163" spans="1:9" x14ac:dyDescent="0.25">
      <c r="A1163" s="28"/>
      <c r="B1163" s="28"/>
      <c r="C1163" s="28" t="s">
        <v>89</v>
      </c>
      <c r="D1163" s="53">
        <v>-1707716</v>
      </c>
      <c r="E1163" s="53">
        <f t="shared" ref="E1163" si="583">D1163</f>
        <v>-1707716</v>
      </c>
      <c r="F1163" s="53">
        <v>-1707715.99</v>
      </c>
      <c r="G1163" s="53">
        <f t="shared" ref="G1163:G1167" si="584">F1163-E1163</f>
        <v>1.0000000009313226E-2</v>
      </c>
      <c r="I1163" s="2"/>
    </row>
    <row r="1164" spans="1:9" x14ac:dyDescent="0.25">
      <c r="A1164" s="28"/>
      <c r="B1164" s="28"/>
      <c r="C1164" s="28" t="s">
        <v>90</v>
      </c>
      <c r="D1164" s="53">
        <v>-138762</v>
      </c>
      <c r="E1164" s="53">
        <f>D1164-11791.6</f>
        <v>-150553.60000000001</v>
      </c>
      <c r="F1164" s="53">
        <v>-147338.14000000001</v>
      </c>
      <c r="G1164" s="53">
        <f t="shared" si="584"/>
        <v>3215.4599999999919</v>
      </c>
      <c r="I1164" s="2"/>
    </row>
    <row r="1165" spans="1:9" x14ac:dyDescent="0.25">
      <c r="A1165" s="28"/>
      <c r="B1165" s="28"/>
      <c r="C1165" s="28" t="s">
        <v>100</v>
      </c>
      <c r="D1165" s="53">
        <v>-10284</v>
      </c>
      <c r="E1165" s="53">
        <f>D1165-1498.99</f>
        <v>-11782.99</v>
      </c>
      <c r="F1165" s="53">
        <v>-11782.35</v>
      </c>
      <c r="G1165" s="53">
        <f t="shared" si="584"/>
        <v>0.63999999999941792</v>
      </c>
      <c r="I1165" s="2"/>
    </row>
    <row r="1166" spans="1:9" x14ac:dyDescent="0.25">
      <c r="A1166" s="28"/>
      <c r="B1166" s="28"/>
      <c r="C1166" s="59" t="s">
        <v>80</v>
      </c>
      <c r="D1166" s="52">
        <f>D1167</f>
        <v>0</v>
      </c>
      <c r="E1166" s="52">
        <f ca="1">E1167+E1166</f>
        <v>0</v>
      </c>
      <c r="F1166" s="52">
        <f ca="1">F1167+F1166</f>
        <v>0</v>
      </c>
      <c r="G1166" s="52">
        <f t="shared" ca="1" si="584"/>
        <v>-4.3899999999999997</v>
      </c>
      <c r="I1166" s="2"/>
    </row>
    <row r="1167" spans="1:9" x14ac:dyDescent="0.25">
      <c r="A1167" s="28"/>
      <c r="B1167" s="28"/>
      <c r="C1167" s="56" t="s">
        <v>95</v>
      </c>
      <c r="D1167" s="52">
        <v>0</v>
      </c>
      <c r="E1167" s="52">
        <v>0</v>
      </c>
      <c r="F1167" s="52">
        <v>-4.3899999999999997</v>
      </c>
      <c r="G1167" s="52">
        <f t="shared" si="584"/>
        <v>-4.3899999999999997</v>
      </c>
      <c r="I1167" s="2"/>
    </row>
    <row r="1168" spans="1:9" x14ac:dyDescent="0.25">
      <c r="A1168" s="51"/>
      <c r="B1168" s="51"/>
      <c r="C1168" s="59" t="s">
        <v>81</v>
      </c>
      <c r="D1168" s="54">
        <f>SUM(D1169:D1170)</f>
        <v>-110871</v>
      </c>
      <c r="E1168" s="54">
        <f>SUM(E1169:E1170)</f>
        <v>-142273.32</v>
      </c>
      <c r="F1168" s="54">
        <f>SUM(F1169:F1170)</f>
        <v>-64178.709999999992</v>
      </c>
      <c r="G1168" s="54">
        <f>F1168-E1168</f>
        <v>78094.610000000015</v>
      </c>
      <c r="I1168" s="2"/>
    </row>
    <row r="1169" spans="1:9" x14ac:dyDescent="0.25">
      <c r="A1169" s="28"/>
      <c r="B1169" s="28"/>
      <c r="C1169" s="56" t="s">
        <v>89</v>
      </c>
      <c r="D1169" s="52">
        <v>-95155</v>
      </c>
      <c r="E1169" s="52">
        <f>D1169-22532.45</f>
        <v>-117687.45</v>
      </c>
      <c r="F1169" s="52">
        <v>-47489.34</v>
      </c>
      <c r="G1169" s="52">
        <f t="shared" ref="G1169:G1170" si="585">F1169-E1169</f>
        <v>70198.11</v>
      </c>
      <c r="I1169" s="2"/>
    </row>
    <row r="1170" spans="1:9" x14ac:dyDescent="0.25">
      <c r="A1170" s="28"/>
      <c r="B1170" s="28"/>
      <c r="C1170" s="56" t="s">
        <v>90</v>
      </c>
      <c r="D1170" s="52">
        <v>-15716</v>
      </c>
      <c r="E1170" s="52">
        <f>D1170-8869.87</f>
        <v>-24585.870000000003</v>
      </c>
      <c r="F1170" s="52">
        <v>-16689.37</v>
      </c>
      <c r="G1170" s="52">
        <f t="shared" si="585"/>
        <v>7896.5000000000036</v>
      </c>
      <c r="I1170" s="2"/>
    </row>
    <row r="1171" spans="1:9" x14ac:dyDescent="0.25">
      <c r="A1171" s="51"/>
      <c r="B1171" s="51"/>
      <c r="C1171" s="59" t="s">
        <v>82</v>
      </c>
      <c r="D1171" s="54">
        <f>SUM(D1172:D1174)</f>
        <v>-6131098</v>
      </c>
      <c r="E1171" s="54">
        <f t="shared" ref="E1171:F1171" si="586">SUM(E1172:E1174)</f>
        <v>-11826833.420000002</v>
      </c>
      <c r="F1171" s="54">
        <f t="shared" si="586"/>
        <v>-5940797.9499999993</v>
      </c>
      <c r="G1171" s="54">
        <f>F1171-E1171</f>
        <v>5886035.4700000025</v>
      </c>
      <c r="I1171" s="2"/>
    </row>
    <row r="1172" spans="1:9" x14ac:dyDescent="0.25">
      <c r="A1172" s="28"/>
      <c r="B1172" s="28"/>
      <c r="C1172" s="56" t="s">
        <v>89</v>
      </c>
      <c r="D1172" s="52">
        <f>-15000-5678627</f>
        <v>-5693627</v>
      </c>
      <c r="E1172" s="52">
        <f>D1172-5353557.99</f>
        <v>-11047184.99</v>
      </c>
      <c r="F1172" s="52">
        <v>-5512976.0999999996</v>
      </c>
      <c r="G1172" s="52">
        <f t="shared" ref="G1172:G1175" si="587">F1172-E1172</f>
        <v>5534208.8900000006</v>
      </c>
      <c r="I1172" s="2"/>
    </row>
    <row r="1173" spans="1:9" x14ac:dyDescent="0.25">
      <c r="A1173" s="28"/>
      <c r="B1173" s="28"/>
      <c r="C1173" s="56" t="s">
        <v>90</v>
      </c>
      <c r="D1173" s="52">
        <v>-437406</v>
      </c>
      <c r="E1173" s="52">
        <f>D1173-341654.22</f>
        <v>-779060.22</v>
      </c>
      <c r="F1173" s="52">
        <v>-427233.64</v>
      </c>
      <c r="G1173" s="52">
        <f t="shared" si="587"/>
        <v>351826.57999999996</v>
      </c>
      <c r="I1173" s="2"/>
    </row>
    <row r="1174" spans="1:9" x14ac:dyDescent="0.25">
      <c r="A1174" s="28"/>
      <c r="B1174" s="28"/>
      <c r="C1174" s="56" t="s">
        <v>95</v>
      </c>
      <c r="D1174" s="52">
        <v>-65</v>
      </c>
      <c r="E1174" s="52">
        <f>D1174-523.21</f>
        <v>-588.21</v>
      </c>
      <c r="F1174" s="52">
        <v>-588.21</v>
      </c>
      <c r="G1174" s="52">
        <f t="shared" si="587"/>
        <v>0</v>
      </c>
      <c r="I1174" s="2"/>
    </row>
    <row r="1175" spans="1:9" s="14" customFormat="1" ht="15.75" customHeight="1" x14ac:dyDescent="0.25">
      <c r="A1175" s="51"/>
      <c r="B1175" s="51"/>
      <c r="C1175" s="59" t="s">
        <v>85</v>
      </c>
      <c r="D1175" s="54">
        <v>-73394</v>
      </c>
      <c r="E1175" s="54">
        <f t="shared" ref="E1175" si="588">D1175</f>
        <v>-73394</v>
      </c>
      <c r="F1175" s="54">
        <v>-64044.29</v>
      </c>
      <c r="G1175" s="54">
        <f t="shared" si="587"/>
        <v>9349.7099999999991</v>
      </c>
      <c r="H1175" s="9"/>
      <c r="I1175" s="2"/>
    </row>
    <row r="1176" spans="1:9" x14ac:dyDescent="0.25">
      <c r="A1176" s="51"/>
      <c r="B1176" s="51" t="s">
        <v>129</v>
      </c>
      <c r="C1176" s="59"/>
      <c r="D1176" s="54">
        <f>SUM(D1177:D1179)</f>
        <v>-262401</v>
      </c>
      <c r="E1176" s="54">
        <f>SUM(E1177:E1179)</f>
        <v>-257751.3</v>
      </c>
      <c r="F1176" s="54">
        <f>SUM(F1177:F1179)</f>
        <v>-87378.92</v>
      </c>
      <c r="G1176" s="54">
        <f>F1176-E1176</f>
        <v>170372.38</v>
      </c>
      <c r="I1176" s="2"/>
    </row>
    <row r="1177" spans="1:9" x14ac:dyDescent="0.25">
      <c r="A1177" s="28"/>
      <c r="B1177" s="28"/>
      <c r="C1177" s="56" t="s">
        <v>89</v>
      </c>
      <c r="D1177" s="52">
        <f>D1181</f>
        <v>-15873</v>
      </c>
      <c r="E1177" s="52">
        <f>E1181+E1187</f>
        <v>-11606.98</v>
      </c>
      <c r="F1177" s="52">
        <f>F1181+F1187</f>
        <v>-11460.960000000001</v>
      </c>
      <c r="G1177" s="52">
        <f t="shared" ref="G1177:G1179" si="589">F1177-E1177</f>
        <v>146.01999999999862</v>
      </c>
      <c r="I1177" s="2"/>
    </row>
    <row r="1178" spans="1:9" x14ac:dyDescent="0.25">
      <c r="A1178" s="28"/>
      <c r="B1178" s="28"/>
      <c r="C1178" s="56" t="s">
        <v>90</v>
      </c>
      <c r="D1178" s="52">
        <f>D1182</f>
        <v>-1528</v>
      </c>
      <c r="E1178" s="52">
        <f>E1182+E1188</f>
        <v>-1144.32</v>
      </c>
      <c r="F1178" s="52">
        <f>F1182+F1188</f>
        <v>-917.96</v>
      </c>
      <c r="G1178" s="52">
        <f t="shared" si="589"/>
        <v>226.3599999999999</v>
      </c>
      <c r="I1178" s="2"/>
    </row>
    <row r="1179" spans="1:9" x14ac:dyDescent="0.25">
      <c r="A1179" s="28"/>
      <c r="B1179" s="28"/>
      <c r="C1179" s="56" t="s">
        <v>94</v>
      </c>
      <c r="D1179" s="52">
        <f>D1184</f>
        <v>-245000</v>
      </c>
      <c r="E1179" s="52">
        <f t="shared" ref="E1179:F1179" si="590">E1184</f>
        <v>-245000</v>
      </c>
      <c r="F1179" s="52">
        <f t="shared" si="590"/>
        <v>-75000</v>
      </c>
      <c r="G1179" s="52">
        <f t="shared" si="589"/>
        <v>170000</v>
      </c>
      <c r="I1179" s="2"/>
    </row>
    <row r="1180" spans="1:9" x14ac:dyDescent="0.25">
      <c r="A1180" s="51"/>
      <c r="B1180" s="51"/>
      <c r="C1180" s="59" t="s">
        <v>79</v>
      </c>
      <c r="D1180" s="54">
        <f>SUM(D1181:D1182)</f>
        <v>-17401</v>
      </c>
      <c r="E1180" s="54">
        <f>SUM(E1181:E1182)</f>
        <v>-12500.74</v>
      </c>
      <c r="F1180" s="54">
        <f>SUM(F1181:F1182)</f>
        <v>-12328.37</v>
      </c>
      <c r="G1180" s="54">
        <f>F1180-E1180</f>
        <v>172.36999999999898</v>
      </c>
      <c r="I1180" s="2"/>
    </row>
    <row r="1181" spans="1:9" x14ac:dyDescent="0.25">
      <c r="A1181" s="28"/>
      <c r="B1181" s="28"/>
      <c r="C1181" s="56" t="s">
        <v>89</v>
      </c>
      <c r="D1181" s="52">
        <v>-15873</v>
      </c>
      <c r="E1181" s="52">
        <f>D1181+4394.13</f>
        <v>-11478.869999999999</v>
      </c>
      <c r="F1181" s="52">
        <v>-11432.86</v>
      </c>
      <c r="G1181" s="52">
        <f t="shared" ref="G1181:G1182" si="591">F1181-E1181</f>
        <v>46.009999999998399</v>
      </c>
      <c r="I1181" s="2"/>
    </row>
    <row r="1182" spans="1:9" x14ac:dyDescent="0.25">
      <c r="A1182" s="28"/>
      <c r="B1182" s="28"/>
      <c r="C1182" s="56" t="s">
        <v>90</v>
      </c>
      <c r="D1182" s="52">
        <v>-1528</v>
      </c>
      <c r="E1182" s="52">
        <f>D1182+506.13</f>
        <v>-1021.87</v>
      </c>
      <c r="F1182" s="52">
        <v>-895.51</v>
      </c>
      <c r="G1182" s="52">
        <f t="shared" si="591"/>
        <v>126.36000000000001</v>
      </c>
      <c r="I1182" s="2"/>
    </row>
    <row r="1183" spans="1:9" x14ac:dyDescent="0.25">
      <c r="A1183" s="51"/>
      <c r="B1183" s="51"/>
      <c r="C1183" s="59" t="s">
        <v>80</v>
      </c>
      <c r="D1183" s="54">
        <f>D1184</f>
        <v>-245000</v>
      </c>
      <c r="E1183" s="54">
        <f t="shared" ref="E1183:F1184" si="592">E1184</f>
        <v>-245000</v>
      </c>
      <c r="F1183" s="54">
        <f t="shared" si="592"/>
        <v>-75000</v>
      </c>
      <c r="G1183" s="54">
        <f>F1183-E1183</f>
        <v>170000</v>
      </c>
      <c r="I1183" s="2"/>
    </row>
    <row r="1184" spans="1:9" x14ac:dyDescent="0.25">
      <c r="A1184" s="28"/>
      <c r="B1184" s="28"/>
      <c r="C1184" s="56" t="s">
        <v>94</v>
      </c>
      <c r="D1184" s="52">
        <f>D1185</f>
        <v>-245000</v>
      </c>
      <c r="E1184" s="52">
        <f t="shared" si="592"/>
        <v>-245000</v>
      </c>
      <c r="F1184" s="52">
        <f t="shared" si="592"/>
        <v>-75000</v>
      </c>
      <c r="G1184" s="52">
        <f t="shared" ref="G1184:G1188" si="593">F1184-E1184</f>
        <v>170000</v>
      </c>
      <c r="I1184" s="2"/>
    </row>
    <row r="1185" spans="1:9" s="24" customFormat="1" x14ac:dyDescent="0.25">
      <c r="A1185" s="57"/>
      <c r="B1185" s="57"/>
      <c r="C1185" s="61" t="s">
        <v>142</v>
      </c>
      <c r="D1185" s="62">
        <v>-245000</v>
      </c>
      <c r="E1185" s="62">
        <f t="shared" ref="E1185" si="594">D1185</f>
        <v>-245000</v>
      </c>
      <c r="F1185" s="62">
        <v>-75000</v>
      </c>
      <c r="G1185" s="62">
        <f t="shared" si="593"/>
        <v>170000</v>
      </c>
      <c r="H1185" s="25"/>
      <c r="I1185" s="2"/>
    </row>
    <row r="1186" spans="1:9" s="24" customFormat="1" x14ac:dyDescent="0.25">
      <c r="A1186" s="57"/>
      <c r="B1186" s="57"/>
      <c r="C1186" s="59" t="s">
        <v>82</v>
      </c>
      <c r="D1186" s="52">
        <f>SUM(D1187:D1188)</f>
        <v>0</v>
      </c>
      <c r="E1186" s="52">
        <f>SUM(E1187:E1188)</f>
        <v>-250.56</v>
      </c>
      <c r="F1186" s="52">
        <f>SUM(F1187:F1188)</f>
        <v>-50.55</v>
      </c>
      <c r="G1186" s="62">
        <f t="shared" si="593"/>
        <v>200.01</v>
      </c>
      <c r="H1186" s="25"/>
      <c r="I1186" s="2"/>
    </row>
    <row r="1187" spans="1:9" s="24" customFormat="1" x14ac:dyDescent="0.25">
      <c r="A1187" s="57"/>
      <c r="B1187" s="57"/>
      <c r="C1187" s="56" t="s">
        <v>89</v>
      </c>
      <c r="D1187" s="52">
        <v>0</v>
      </c>
      <c r="E1187" s="52">
        <v>-128.11000000000001</v>
      </c>
      <c r="F1187" s="52">
        <v>-28.1</v>
      </c>
      <c r="G1187" s="52">
        <f t="shared" si="593"/>
        <v>100.01000000000002</v>
      </c>
      <c r="H1187" s="25"/>
      <c r="I1187" s="2"/>
    </row>
    <row r="1188" spans="1:9" s="24" customFormat="1" x14ac:dyDescent="0.25">
      <c r="A1188" s="57"/>
      <c r="B1188" s="57"/>
      <c r="C1188" s="56" t="s">
        <v>90</v>
      </c>
      <c r="D1188" s="52">
        <v>0</v>
      </c>
      <c r="E1188" s="52">
        <v>-122.45</v>
      </c>
      <c r="F1188" s="52">
        <v>-22.45</v>
      </c>
      <c r="G1188" s="52">
        <f t="shared" si="593"/>
        <v>100</v>
      </c>
      <c r="H1188" s="25"/>
      <c r="I1188" s="2"/>
    </row>
    <row r="1189" spans="1:9" x14ac:dyDescent="0.25">
      <c r="A1189" s="51"/>
      <c r="B1189" s="51" t="s">
        <v>88</v>
      </c>
      <c r="C1189" s="59"/>
      <c r="D1189" s="54">
        <f>SUM(D1190:D1192)</f>
        <v>-2161636</v>
      </c>
      <c r="E1189" s="54">
        <f>SUM(E1190:E1192)</f>
        <v>-2163169.27</v>
      </c>
      <c r="F1189" s="54">
        <f>SUM(F1190:F1192)</f>
        <v>-1955495.3499999999</v>
      </c>
      <c r="G1189" s="54">
        <f>F1189-E1189</f>
        <v>207673.92000000016</v>
      </c>
      <c r="I1189" s="2"/>
    </row>
    <row r="1190" spans="1:9" x14ac:dyDescent="0.25">
      <c r="A1190" s="28"/>
      <c r="B1190" s="28"/>
      <c r="C1190" s="56" t="s">
        <v>89</v>
      </c>
      <c r="D1190" s="52">
        <f>D1194+D1199</f>
        <v>-905797</v>
      </c>
      <c r="E1190" s="52">
        <f>E1194+E1199</f>
        <v>-934255.83000000007</v>
      </c>
      <c r="F1190" s="52">
        <f>F1194+F1199</f>
        <v>-897610.78</v>
      </c>
      <c r="G1190" s="52">
        <f t="shared" ref="G1190:G1192" si="595">F1190-E1190</f>
        <v>36645.050000000047</v>
      </c>
      <c r="I1190" s="2"/>
    </row>
    <row r="1191" spans="1:9" x14ac:dyDescent="0.25">
      <c r="A1191" s="28"/>
      <c r="B1191" s="28"/>
      <c r="C1191" s="56" t="s">
        <v>90</v>
      </c>
      <c r="D1191" s="52">
        <f>D1195</f>
        <v>-750634</v>
      </c>
      <c r="E1191" s="52">
        <f t="shared" ref="E1191:F1191" si="596">E1195</f>
        <v>-738266.7</v>
      </c>
      <c r="F1191" s="52">
        <f t="shared" si="596"/>
        <v>-638676.12</v>
      </c>
      <c r="G1191" s="52">
        <f t="shared" si="595"/>
        <v>99590.579999999958</v>
      </c>
      <c r="I1191" s="2"/>
    </row>
    <row r="1192" spans="1:9" x14ac:dyDescent="0.25">
      <c r="A1192" s="28"/>
      <c r="B1192" s="28"/>
      <c r="C1192" s="56" t="s">
        <v>91</v>
      </c>
      <c r="D1192" s="52">
        <f>D1200+D1197</f>
        <v>-505205</v>
      </c>
      <c r="E1192" s="52">
        <f>E1200+E1197</f>
        <v>-490646.74</v>
      </c>
      <c r="F1192" s="52">
        <f>F1200+F1197</f>
        <v>-419208.45</v>
      </c>
      <c r="G1192" s="52">
        <f t="shared" si="595"/>
        <v>71438.289999999979</v>
      </c>
      <c r="I1192" s="2"/>
    </row>
    <row r="1193" spans="1:9" x14ac:dyDescent="0.25">
      <c r="A1193" s="51"/>
      <c r="B1193" s="51"/>
      <c r="C1193" s="59" t="s">
        <v>79</v>
      </c>
      <c r="D1193" s="54">
        <f>SUM(D1194:D1195)</f>
        <v>-1656431</v>
      </c>
      <c r="E1193" s="54">
        <f>SUM(E1194:E1195)</f>
        <v>-1488757.58</v>
      </c>
      <c r="F1193" s="54">
        <f>SUM(F1194:F1195)</f>
        <v>-1352521.95</v>
      </c>
      <c r="G1193" s="54">
        <f>F1193-E1193</f>
        <v>136235.63000000012</v>
      </c>
      <c r="I1193" s="2"/>
    </row>
    <row r="1194" spans="1:9" x14ac:dyDescent="0.25">
      <c r="A1194" s="28"/>
      <c r="B1194" s="28"/>
      <c r="C1194" s="56" t="s">
        <v>89</v>
      </c>
      <c r="D1194" s="52">
        <v>-905797</v>
      </c>
      <c r="E1194" s="52">
        <f>D1194+155306.12</f>
        <v>-750490.88</v>
      </c>
      <c r="F1194" s="52">
        <v>-713845.83</v>
      </c>
      <c r="G1194" s="52">
        <f t="shared" ref="G1194:G1199" si="597">F1194-E1194</f>
        <v>36645.050000000047</v>
      </c>
      <c r="I1194" s="2"/>
    </row>
    <row r="1195" spans="1:9" x14ac:dyDescent="0.25">
      <c r="A1195" s="28"/>
      <c r="B1195" s="28"/>
      <c r="C1195" s="56" t="s">
        <v>90</v>
      </c>
      <c r="D1195" s="52">
        <v>-750634</v>
      </c>
      <c r="E1195" s="52">
        <f>D1195+12367.3</f>
        <v>-738266.7</v>
      </c>
      <c r="F1195" s="52">
        <v>-638676.12</v>
      </c>
      <c r="G1195" s="52">
        <f t="shared" si="597"/>
        <v>99590.579999999958</v>
      </c>
      <c r="I1195" s="2"/>
    </row>
    <row r="1196" spans="1:9" x14ac:dyDescent="0.25">
      <c r="A1196" s="28"/>
      <c r="B1196" s="28"/>
      <c r="C1196" s="59" t="s">
        <v>80</v>
      </c>
      <c r="D1196" s="52">
        <f>D1197</f>
        <v>0</v>
      </c>
      <c r="E1196" s="52">
        <f>E1197</f>
        <v>0</v>
      </c>
      <c r="F1196" s="52">
        <f>F1197</f>
        <v>-24.2</v>
      </c>
      <c r="G1196" s="52">
        <f t="shared" si="597"/>
        <v>-24.2</v>
      </c>
      <c r="I1196" s="2"/>
    </row>
    <row r="1197" spans="1:9" x14ac:dyDescent="0.25">
      <c r="A1197" s="28"/>
      <c r="B1197" s="28"/>
      <c r="C1197" s="56" t="s">
        <v>95</v>
      </c>
      <c r="D1197" s="52">
        <v>0</v>
      </c>
      <c r="E1197" s="52">
        <v>0</v>
      </c>
      <c r="F1197" s="52">
        <v>-24.2</v>
      </c>
      <c r="G1197" s="52">
        <f t="shared" si="597"/>
        <v>-24.2</v>
      </c>
      <c r="I1197" s="2"/>
    </row>
    <row r="1198" spans="1:9" x14ac:dyDescent="0.25">
      <c r="A1198" s="28"/>
      <c r="B1198" s="28"/>
      <c r="C1198" s="59" t="s">
        <v>81</v>
      </c>
      <c r="D1198" s="52">
        <f>D1199</f>
        <v>0</v>
      </c>
      <c r="E1198" s="52">
        <f>E1199</f>
        <v>-183764.95</v>
      </c>
      <c r="F1198" s="52">
        <f>F1199</f>
        <v>-183764.95</v>
      </c>
      <c r="G1198" s="52">
        <f t="shared" si="597"/>
        <v>0</v>
      </c>
      <c r="I1198" s="2"/>
    </row>
    <row r="1199" spans="1:9" x14ac:dyDescent="0.25">
      <c r="A1199" s="28"/>
      <c r="B1199" s="28"/>
      <c r="C1199" s="56" t="s">
        <v>89</v>
      </c>
      <c r="D1199" s="52">
        <v>0</v>
      </c>
      <c r="E1199" s="52">
        <v>-183764.95</v>
      </c>
      <c r="F1199" s="52">
        <v>-183764.95</v>
      </c>
      <c r="G1199" s="52">
        <f t="shared" si="597"/>
        <v>0</v>
      </c>
      <c r="I1199" s="2"/>
    </row>
    <row r="1200" spans="1:9" s="14" customFormat="1" x14ac:dyDescent="0.25">
      <c r="A1200" s="51"/>
      <c r="B1200" s="51"/>
      <c r="C1200" s="59" t="s">
        <v>85</v>
      </c>
      <c r="D1200" s="54">
        <v>-505205</v>
      </c>
      <c r="E1200" s="54">
        <f>D1200+14558.26</f>
        <v>-490646.74</v>
      </c>
      <c r="F1200" s="54">
        <v>-419184.25</v>
      </c>
      <c r="G1200" s="54">
        <f t="shared" ref="G1200" si="598">F1200-E1200</f>
        <v>71462.489999999991</v>
      </c>
      <c r="H1200" s="9"/>
      <c r="I1200" s="2"/>
    </row>
    <row r="1201" spans="1:9" s="14" customFormat="1" ht="15.75" x14ac:dyDescent="0.25">
      <c r="A1201" s="39" t="s">
        <v>150</v>
      </c>
      <c r="B1201" s="51"/>
      <c r="C1201" s="59"/>
      <c r="D1201" s="54">
        <f>SUM(D1202:D1206)</f>
        <v>-3649173</v>
      </c>
      <c r="E1201" s="54">
        <f>SUM(E1202:E1206)</f>
        <v>-5218573.87</v>
      </c>
      <c r="F1201" s="54">
        <f>SUM(F1202:F1206)</f>
        <v>-3758284.8400000008</v>
      </c>
      <c r="G1201" s="54">
        <f>F1201-E1201</f>
        <v>1460289.0299999993</v>
      </c>
      <c r="H1201" s="9"/>
      <c r="I1201" s="2"/>
    </row>
    <row r="1202" spans="1:9" x14ac:dyDescent="0.25">
      <c r="A1202" s="28"/>
      <c r="B1202" s="28" t="s">
        <v>79</v>
      </c>
      <c r="C1202" s="56"/>
      <c r="D1202" s="52">
        <f>D1212+D1231</f>
        <v>-3114868</v>
      </c>
      <c r="E1202" s="52">
        <f t="shared" ref="E1202:F1202" si="599">E1212+E1231</f>
        <v>-3158437.47</v>
      </c>
      <c r="F1202" s="52">
        <f t="shared" si="599"/>
        <v>-2855303.0000000005</v>
      </c>
      <c r="G1202" s="52">
        <f>F1202-E1202</f>
        <v>303134.46999999974</v>
      </c>
      <c r="I1202" s="2"/>
    </row>
    <row r="1203" spans="1:9" x14ac:dyDescent="0.25">
      <c r="A1203" s="28"/>
      <c r="B1203" s="59" t="s">
        <v>80</v>
      </c>
      <c r="C1203" s="56"/>
      <c r="D1203" s="52">
        <f>D1217+D1234</f>
        <v>0</v>
      </c>
      <c r="E1203" s="52">
        <f>E1217+E1234</f>
        <v>0</v>
      </c>
      <c r="F1203" s="52">
        <f>F1217+F1234</f>
        <v>-11.45</v>
      </c>
      <c r="G1203" s="52">
        <f>F1203-E1203</f>
        <v>-11.45</v>
      </c>
      <c r="I1203" s="2"/>
    </row>
    <row r="1204" spans="1:9" x14ac:dyDescent="0.25">
      <c r="A1204" s="28"/>
      <c r="B1204" s="51" t="s">
        <v>81</v>
      </c>
      <c r="C1204" s="56"/>
      <c r="D1204" s="52">
        <f>D1219+D1236</f>
        <v>0</v>
      </c>
      <c r="E1204" s="52">
        <f>E1219+E1236</f>
        <v>-843137.04999999993</v>
      </c>
      <c r="F1204" s="52">
        <f>F1219+F1236</f>
        <v>-339303.93</v>
      </c>
      <c r="G1204" s="52">
        <f>F1204-E1204</f>
        <v>503833.11999999994</v>
      </c>
      <c r="I1204" s="2"/>
    </row>
    <row r="1205" spans="1:9" x14ac:dyDescent="0.25">
      <c r="A1205" s="28"/>
      <c r="B1205" s="28" t="s">
        <v>82</v>
      </c>
      <c r="C1205" s="56"/>
      <c r="D1205" s="52">
        <f>D1222</f>
        <v>-178823</v>
      </c>
      <c r="E1205" s="52">
        <f t="shared" ref="E1205:F1205" si="600">E1222</f>
        <v>-858567.36</v>
      </c>
      <c r="F1205" s="52">
        <f t="shared" si="600"/>
        <v>-237347.62000000002</v>
      </c>
      <c r="G1205" s="52">
        <f t="shared" ref="G1205" si="601">F1205-E1205</f>
        <v>621219.74</v>
      </c>
      <c r="I1205" s="2"/>
    </row>
    <row r="1206" spans="1:9" x14ac:dyDescent="0.25">
      <c r="A1206" s="28"/>
      <c r="B1206" s="28" t="s">
        <v>85</v>
      </c>
      <c r="C1206" s="56"/>
      <c r="D1206" s="52">
        <f>D1226+D1238</f>
        <v>-355482</v>
      </c>
      <c r="E1206" s="52">
        <f t="shared" ref="E1206:F1206" si="602">E1226+E1238</f>
        <v>-358431.99</v>
      </c>
      <c r="F1206" s="52">
        <f t="shared" si="602"/>
        <v>-326318.83999999997</v>
      </c>
      <c r="G1206" s="52">
        <f>F1206-E1206</f>
        <v>32113.150000000023</v>
      </c>
      <c r="I1206" s="2"/>
    </row>
    <row r="1207" spans="1:9" x14ac:dyDescent="0.25">
      <c r="A1207" s="51"/>
      <c r="B1207" s="51" t="s">
        <v>129</v>
      </c>
      <c r="C1207" s="59"/>
      <c r="D1207" s="54">
        <f>SUM(D1208:D1211)</f>
        <v>-2799867</v>
      </c>
      <c r="E1207" s="54">
        <f t="shared" ref="E1207:F1207" si="603">SUM(E1208:E1211)</f>
        <v>-4427734.13</v>
      </c>
      <c r="F1207" s="54">
        <f t="shared" si="603"/>
        <v>-3095305.7800000003</v>
      </c>
      <c r="G1207" s="54">
        <f>F1207-E1207</f>
        <v>1332428.3499999996</v>
      </c>
      <c r="I1207" s="2"/>
    </row>
    <row r="1208" spans="1:9" x14ac:dyDescent="0.25">
      <c r="A1208" s="28"/>
      <c r="B1208" s="28"/>
      <c r="C1208" s="56" t="s">
        <v>89</v>
      </c>
      <c r="D1208" s="52">
        <f t="shared" ref="D1208:F1209" si="604">D1213+D1223+D1220</f>
        <v>-1829076</v>
      </c>
      <c r="E1208" s="52">
        <f t="shared" si="604"/>
        <v>-2430191.9300000002</v>
      </c>
      <c r="F1208" s="52">
        <f t="shared" si="604"/>
        <v>-1983622.29</v>
      </c>
      <c r="G1208" s="52">
        <f t="shared" ref="G1208:G1210" si="605">F1208-E1208</f>
        <v>446569.64000000013</v>
      </c>
      <c r="I1208" s="2"/>
    </row>
    <row r="1209" spans="1:9" x14ac:dyDescent="0.25">
      <c r="A1209" s="28"/>
      <c r="B1209" s="28"/>
      <c r="C1209" s="56" t="s">
        <v>90</v>
      </c>
      <c r="D1209" s="52">
        <f t="shared" si="604"/>
        <v>-782896</v>
      </c>
      <c r="E1209" s="52">
        <f t="shared" si="604"/>
        <v>-1807410.9</v>
      </c>
      <c r="F1209" s="52">
        <f t="shared" si="604"/>
        <v>-894916.3</v>
      </c>
      <c r="G1209" s="52">
        <f t="shared" si="605"/>
        <v>912494.59999999986</v>
      </c>
      <c r="I1209" s="2"/>
    </row>
    <row r="1210" spans="1:9" x14ac:dyDescent="0.25">
      <c r="A1210" s="28"/>
      <c r="B1210" s="28"/>
      <c r="C1210" s="56" t="s">
        <v>100</v>
      </c>
      <c r="D1210" s="52">
        <f>D1215</f>
        <v>-106</v>
      </c>
      <c r="E1210" s="52">
        <f t="shared" ref="E1210:F1210" si="606">E1215</f>
        <v>-2231.1799999999998</v>
      </c>
      <c r="F1210" s="52">
        <f t="shared" si="606"/>
        <v>-2231.1799999999998</v>
      </c>
      <c r="G1210" s="52">
        <f t="shared" si="605"/>
        <v>0</v>
      </c>
      <c r="I1210" s="2"/>
    </row>
    <row r="1211" spans="1:9" x14ac:dyDescent="0.25">
      <c r="A1211" s="28"/>
      <c r="B1211" s="28"/>
      <c r="C1211" s="56" t="s">
        <v>91</v>
      </c>
      <c r="D1211" s="52">
        <f>D1226+D1216+D1218+D1225</f>
        <v>-187789</v>
      </c>
      <c r="E1211" s="52">
        <f>E1226+E1216+E1218+E1225</f>
        <v>-187900.12</v>
      </c>
      <c r="F1211" s="52">
        <f>F1226+F1216+F1218+F1225</f>
        <v>-214536.01</v>
      </c>
      <c r="G1211" s="52">
        <f t="shared" ref="G1211" si="607">F1211-E1211</f>
        <v>-26635.890000000014</v>
      </c>
      <c r="I1211" s="2"/>
    </row>
    <row r="1212" spans="1:9" x14ac:dyDescent="0.25">
      <c r="A1212" s="51"/>
      <c r="B1212" s="51"/>
      <c r="C1212" s="59" t="s">
        <v>79</v>
      </c>
      <c r="D1212" s="54">
        <f>SUM(D1213:D1216)</f>
        <v>-2433255</v>
      </c>
      <c r="E1212" s="54">
        <f>SUM(E1213:E1216)</f>
        <v>-2589208.4300000002</v>
      </c>
      <c r="F1212" s="54">
        <f>SUM(F1213:F1216)</f>
        <v>-2355197.0500000003</v>
      </c>
      <c r="G1212" s="54">
        <f>F1212-E1212</f>
        <v>234011.37999999989</v>
      </c>
      <c r="I1212" s="2"/>
    </row>
    <row r="1213" spans="1:9" x14ac:dyDescent="0.25">
      <c r="A1213" s="28"/>
      <c r="B1213" s="28"/>
      <c r="C1213" s="28" t="s">
        <v>89</v>
      </c>
      <c r="D1213" s="53">
        <v>-1661931</v>
      </c>
      <c r="E1213" s="53">
        <f>D1213-12086.36</f>
        <v>-1674017.36</v>
      </c>
      <c r="F1213" s="53">
        <v>-1670390.56</v>
      </c>
      <c r="G1213" s="53">
        <f t="shared" ref="G1213:G1214" si="608">F1213-E1213</f>
        <v>3626.8000000000466</v>
      </c>
      <c r="I1213" s="2"/>
    </row>
    <row r="1214" spans="1:9" x14ac:dyDescent="0.25">
      <c r="A1214" s="28"/>
      <c r="B1214" s="28"/>
      <c r="C1214" s="28" t="s">
        <v>90</v>
      </c>
      <c r="D1214" s="53">
        <v>-771218</v>
      </c>
      <c r="E1214" s="53">
        <f>D1214-141693.49</f>
        <v>-912911.49</v>
      </c>
      <c r="F1214" s="53">
        <v>-682526.91</v>
      </c>
      <c r="G1214" s="53">
        <f t="shared" si="608"/>
        <v>230384.57999999996</v>
      </c>
      <c r="I1214" s="2"/>
    </row>
    <row r="1215" spans="1:9" x14ac:dyDescent="0.25">
      <c r="A1215" s="28"/>
      <c r="B1215" s="28"/>
      <c r="C1215" s="28" t="s">
        <v>100</v>
      </c>
      <c r="D1215" s="53">
        <v>-106</v>
      </c>
      <c r="E1215" s="53">
        <f>D1215-2125.18</f>
        <v>-2231.1799999999998</v>
      </c>
      <c r="F1215" s="53">
        <v>-2231.1799999999998</v>
      </c>
      <c r="G1215" s="53">
        <f t="shared" ref="G1215:G1221" si="609">F1215-E1215</f>
        <v>0</v>
      </c>
      <c r="I1215" s="2"/>
    </row>
    <row r="1216" spans="1:9" x14ac:dyDescent="0.25">
      <c r="A1216" s="28"/>
      <c r="B1216" s="28"/>
      <c r="C1216" s="28" t="s">
        <v>95</v>
      </c>
      <c r="D1216" s="53">
        <v>0</v>
      </c>
      <c r="E1216" s="53">
        <v>-48.4</v>
      </c>
      <c r="F1216" s="53">
        <v>-48.4</v>
      </c>
      <c r="G1216" s="53">
        <f t="shared" si="609"/>
        <v>0</v>
      </c>
      <c r="I1216" s="2"/>
    </row>
    <row r="1217" spans="1:9" x14ac:dyDescent="0.25">
      <c r="A1217" s="28"/>
      <c r="B1217" s="28"/>
      <c r="C1217" s="59" t="s">
        <v>80</v>
      </c>
      <c r="D1217" s="52">
        <f>D1218</f>
        <v>0</v>
      </c>
      <c r="E1217" s="52">
        <f>E1218</f>
        <v>0</v>
      </c>
      <c r="F1217" s="52">
        <f>F1218</f>
        <v>-1.92</v>
      </c>
      <c r="G1217" s="52">
        <f t="shared" si="609"/>
        <v>-1.92</v>
      </c>
      <c r="I1217" s="2"/>
    </row>
    <row r="1218" spans="1:9" x14ac:dyDescent="0.25">
      <c r="A1218" s="28"/>
      <c r="B1218" s="28"/>
      <c r="C1218" s="56" t="s">
        <v>95</v>
      </c>
      <c r="D1218" s="52">
        <v>0</v>
      </c>
      <c r="E1218" s="52">
        <v>0</v>
      </c>
      <c r="F1218" s="52">
        <v>-1.92</v>
      </c>
      <c r="G1218" s="52">
        <f t="shared" si="609"/>
        <v>-1.92</v>
      </c>
      <c r="I1218" s="2"/>
    </row>
    <row r="1219" spans="1:9" x14ac:dyDescent="0.25">
      <c r="A1219" s="28"/>
      <c r="B1219" s="28"/>
      <c r="C1219" s="59" t="s">
        <v>81</v>
      </c>
      <c r="D1219" s="52">
        <f>SUM(D1220:D1221)</f>
        <v>0</v>
      </c>
      <c r="E1219" s="52">
        <f>SUM(D1220:E1221)</f>
        <v>-792169.34</v>
      </c>
      <c r="F1219" s="52">
        <f>SUM(F1220:F1221)</f>
        <v>-288336.21999999997</v>
      </c>
      <c r="G1219" s="52">
        <f t="shared" si="609"/>
        <v>503833.12</v>
      </c>
      <c r="I1219" s="2"/>
    </row>
    <row r="1220" spans="1:9" x14ac:dyDescent="0.25">
      <c r="A1220" s="28"/>
      <c r="B1220" s="28"/>
      <c r="C1220" s="56" t="s">
        <v>89</v>
      </c>
      <c r="D1220" s="52">
        <v>0</v>
      </c>
      <c r="E1220" s="52">
        <v>-280299.86</v>
      </c>
      <c r="F1220" s="52">
        <v>-122191.78</v>
      </c>
      <c r="G1220" s="52">
        <f t="shared" si="609"/>
        <v>158108.07999999999</v>
      </c>
      <c r="I1220" s="2"/>
    </row>
    <row r="1221" spans="1:9" x14ac:dyDescent="0.25">
      <c r="A1221" s="28"/>
      <c r="B1221" s="28"/>
      <c r="C1221" s="56" t="s">
        <v>90</v>
      </c>
      <c r="D1221" s="52">
        <v>0</v>
      </c>
      <c r="E1221" s="52">
        <v>-511869.48</v>
      </c>
      <c r="F1221" s="52">
        <f>-166143.44-1</f>
        <v>-166144.44</v>
      </c>
      <c r="G1221" s="52">
        <f t="shared" si="609"/>
        <v>345725.04</v>
      </c>
      <c r="I1221" s="2"/>
    </row>
    <row r="1222" spans="1:9" x14ac:dyDescent="0.25">
      <c r="A1222" s="51"/>
      <c r="B1222" s="51"/>
      <c r="C1222" s="59" t="s">
        <v>82</v>
      </c>
      <c r="D1222" s="54">
        <f>SUM(D1223:D1225)</f>
        <v>-178823</v>
      </c>
      <c r="E1222" s="54">
        <f>SUM(E1223:E1225)</f>
        <v>-858567.36</v>
      </c>
      <c r="F1222" s="54">
        <f>SUM(F1223:F1225)</f>
        <v>-237347.62000000002</v>
      </c>
      <c r="G1222" s="54">
        <f>F1222-E1222</f>
        <v>621219.74</v>
      </c>
      <c r="I1222" s="2"/>
    </row>
    <row r="1223" spans="1:9" x14ac:dyDescent="0.25">
      <c r="A1223" s="28"/>
      <c r="B1223" s="28"/>
      <c r="C1223" s="56" t="s">
        <v>89</v>
      </c>
      <c r="D1223" s="52">
        <v>-167145</v>
      </c>
      <c r="E1223" s="52">
        <f>D1223-308729.71</f>
        <v>-475874.71</v>
      </c>
      <c r="F1223" s="52">
        <v>-191039.95</v>
      </c>
      <c r="G1223" s="52">
        <f t="shared" ref="G1223:G1226" si="610">F1223-E1223</f>
        <v>284834.76</v>
      </c>
      <c r="I1223" s="2"/>
    </row>
    <row r="1224" spans="1:9" x14ac:dyDescent="0.25">
      <c r="A1224" s="28"/>
      <c r="B1224" s="28"/>
      <c r="C1224" s="56" t="s">
        <v>90</v>
      </c>
      <c r="D1224" s="52">
        <v>-11678</v>
      </c>
      <c r="E1224" s="52">
        <f>D1224-370951.93</f>
        <v>-382629.93</v>
      </c>
      <c r="F1224" s="52">
        <v>-46244.95</v>
      </c>
      <c r="G1224" s="52">
        <f t="shared" si="610"/>
        <v>336384.98</v>
      </c>
      <c r="I1224" s="2"/>
    </row>
    <row r="1225" spans="1:9" x14ac:dyDescent="0.25">
      <c r="A1225" s="28"/>
      <c r="B1225" s="28"/>
      <c r="C1225" s="56" t="s">
        <v>95</v>
      </c>
      <c r="D1225" s="52">
        <v>0</v>
      </c>
      <c r="E1225" s="52">
        <v>-62.72</v>
      </c>
      <c r="F1225" s="52">
        <v>-62.72</v>
      </c>
      <c r="G1225" s="52">
        <f t="shared" si="610"/>
        <v>0</v>
      </c>
      <c r="I1225" s="2"/>
    </row>
    <row r="1226" spans="1:9" s="14" customFormat="1" x14ac:dyDescent="0.25">
      <c r="A1226" s="51"/>
      <c r="B1226" s="51"/>
      <c r="C1226" s="59" t="s">
        <v>85</v>
      </c>
      <c r="D1226" s="54">
        <v>-187789</v>
      </c>
      <c r="E1226" s="54">
        <f t="shared" ref="E1226" si="611">D1226</f>
        <v>-187789</v>
      </c>
      <c r="F1226" s="54">
        <v>-214422.97</v>
      </c>
      <c r="G1226" s="54">
        <f t="shared" si="610"/>
        <v>-26633.97</v>
      </c>
      <c r="H1226" s="9"/>
      <c r="I1226" s="2"/>
    </row>
    <row r="1227" spans="1:9" x14ac:dyDescent="0.25">
      <c r="A1227" s="51"/>
      <c r="B1227" s="51" t="s">
        <v>88</v>
      </c>
      <c r="C1227" s="59"/>
      <c r="D1227" s="54">
        <f>SUM(D1228:D1230)</f>
        <v>-849306</v>
      </c>
      <c r="E1227" s="54">
        <f>SUM(E1228:E1230)</f>
        <v>-790839.74</v>
      </c>
      <c r="F1227" s="54">
        <f>SUM(F1228:F1230)</f>
        <v>-662979.06000000006</v>
      </c>
      <c r="G1227" s="54">
        <f>F1227-E1227</f>
        <v>127860.67999999993</v>
      </c>
      <c r="I1227" s="2"/>
    </row>
    <row r="1228" spans="1:9" x14ac:dyDescent="0.25">
      <c r="A1228" s="28"/>
      <c r="B1228" s="28"/>
      <c r="C1228" s="56" t="s">
        <v>89</v>
      </c>
      <c r="D1228" s="52">
        <f>D1232+D1237</f>
        <v>-399374</v>
      </c>
      <c r="E1228" s="52">
        <f>E1232+E1237</f>
        <v>-357751.08</v>
      </c>
      <c r="F1228" s="52">
        <f>F1232+F1237</f>
        <v>-329701.61000000004</v>
      </c>
      <c r="G1228" s="52">
        <f t="shared" ref="G1228:G1230" si="612">F1228-E1228</f>
        <v>28049.469999999972</v>
      </c>
      <c r="I1228" s="2"/>
    </row>
    <row r="1229" spans="1:9" x14ac:dyDescent="0.25">
      <c r="A1229" s="28"/>
      <c r="B1229" s="28"/>
      <c r="C1229" s="56" t="s">
        <v>90</v>
      </c>
      <c r="D1229" s="52">
        <f>D1233</f>
        <v>-282239</v>
      </c>
      <c r="E1229" s="52">
        <f t="shared" ref="E1229:F1229" si="613">E1233</f>
        <v>-262445.67</v>
      </c>
      <c r="F1229" s="52">
        <f t="shared" si="613"/>
        <v>-221372.05</v>
      </c>
      <c r="G1229" s="52">
        <f t="shared" si="612"/>
        <v>41073.619999999995</v>
      </c>
      <c r="I1229" s="2"/>
    </row>
    <row r="1230" spans="1:9" x14ac:dyDescent="0.25">
      <c r="A1230" s="28"/>
      <c r="B1230" s="28"/>
      <c r="C1230" s="56" t="s">
        <v>91</v>
      </c>
      <c r="D1230" s="52">
        <f>D1238+D1235</f>
        <v>-167693</v>
      </c>
      <c r="E1230" s="52">
        <f>E1238+E1235</f>
        <v>-170642.99</v>
      </c>
      <c r="F1230" s="52">
        <f>F1238+F1235</f>
        <v>-111905.4</v>
      </c>
      <c r="G1230" s="52">
        <f t="shared" si="612"/>
        <v>58737.59</v>
      </c>
      <c r="I1230" s="2"/>
    </row>
    <row r="1231" spans="1:9" x14ac:dyDescent="0.25">
      <c r="A1231" s="51"/>
      <c r="B1231" s="51"/>
      <c r="C1231" s="59" t="s">
        <v>79</v>
      </c>
      <c r="D1231" s="54">
        <f>SUM(D1232:D1233)</f>
        <v>-681613</v>
      </c>
      <c r="E1231" s="54">
        <f>SUM(E1232:E1233)</f>
        <v>-569229.04</v>
      </c>
      <c r="F1231" s="54">
        <f>SUM(F1232:F1233)</f>
        <v>-500105.95</v>
      </c>
      <c r="G1231" s="54">
        <f>F1231-E1231</f>
        <v>69123.090000000026</v>
      </c>
      <c r="I1231" s="2"/>
    </row>
    <row r="1232" spans="1:9" x14ac:dyDescent="0.25">
      <c r="A1232" s="28"/>
      <c r="B1232" s="28"/>
      <c r="C1232" s="56" t="s">
        <v>89</v>
      </c>
      <c r="D1232" s="52">
        <v>-399374</v>
      </c>
      <c r="E1232" s="52">
        <f>D1232+92590.63</f>
        <v>-306783.37</v>
      </c>
      <c r="F1232" s="52">
        <v>-278733.90000000002</v>
      </c>
      <c r="G1232" s="52">
        <f t="shared" ref="G1232:G1238" si="614">F1232-E1232</f>
        <v>28049.469999999972</v>
      </c>
      <c r="I1232" s="2"/>
    </row>
    <row r="1233" spans="1:9" x14ac:dyDescent="0.25">
      <c r="A1233" s="28"/>
      <c r="B1233" s="28"/>
      <c r="C1233" s="56" t="s">
        <v>90</v>
      </c>
      <c r="D1233" s="52">
        <v>-282239</v>
      </c>
      <c r="E1233" s="52">
        <f>D1233+19793.33</f>
        <v>-262445.67</v>
      </c>
      <c r="F1233" s="52">
        <v>-221372.05</v>
      </c>
      <c r="G1233" s="52">
        <f t="shared" si="614"/>
        <v>41073.619999999995</v>
      </c>
      <c r="I1233" s="2"/>
    </row>
    <row r="1234" spans="1:9" x14ac:dyDescent="0.25">
      <c r="A1234" s="28"/>
      <c r="B1234" s="28"/>
      <c r="C1234" s="59" t="s">
        <v>80</v>
      </c>
      <c r="D1234" s="52">
        <f>D1235</f>
        <v>0</v>
      </c>
      <c r="E1234" s="52">
        <f>E1235</f>
        <v>0</v>
      </c>
      <c r="F1234" s="52">
        <f>F1235</f>
        <v>-9.5299999999999994</v>
      </c>
      <c r="G1234" s="52">
        <f t="shared" si="614"/>
        <v>-9.5299999999999994</v>
      </c>
      <c r="I1234" s="2"/>
    </row>
    <row r="1235" spans="1:9" x14ac:dyDescent="0.25">
      <c r="A1235" s="28"/>
      <c r="B1235" s="28"/>
      <c r="C1235" s="56" t="s">
        <v>95</v>
      </c>
      <c r="D1235" s="52">
        <v>0</v>
      </c>
      <c r="E1235" s="52">
        <v>0</v>
      </c>
      <c r="F1235" s="52">
        <v>-9.5299999999999994</v>
      </c>
      <c r="G1235" s="52">
        <f t="shared" si="614"/>
        <v>-9.5299999999999994</v>
      </c>
      <c r="I1235" s="2"/>
    </row>
    <row r="1236" spans="1:9" x14ac:dyDescent="0.25">
      <c r="A1236" s="28"/>
      <c r="B1236" s="28"/>
      <c r="C1236" s="51" t="s">
        <v>81</v>
      </c>
      <c r="D1236" s="52">
        <f>D1237</f>
        <v>0</v>
      </c>
      <c r="E1236" s="52">
        <f>E1237</f>
        <v>-50967.71</v>
      </c>
      <c r="F1236" s="52">
        <f>F1237</f>
        <v>-50967.71</v>
      </c>
      <c r="G1236" s="52">
        <f t="shared" si="614"/>
        <v>0</v>
      </c>
      <c r="I1236" s="2"/>
    </row>
    <row r="1237" spans="1:9" x14ac:dyDescent="0.25">
      <c r="A1237" s="28"/>
      <c r="B1237" s="28"/>
      <c r="C1237" s="28" t="s">
        <v>89</v>
      </c>
      <c r="D1237" s="52">
        <v>0</v>
      </c>
      <c r="E1237" s="52">
        <v>-50967.71</v>
      </c>
      <c r="F1237" s="52">
        <v>-50967.71</v>
      </c>
      <c r="G1237" s="52">
        <f t="shared" si="614"/>
        <v>0</v>
      </c>
      <c r="I1237" s="2"/>
    </row>
    <row r="1238" spans="1:9" s="14" customFormat="1" x14ac:dyDescent="0.25">
      <c r="A1238" s="51"/>
      <c r="B1238" s="51"/>
      <c r="C1238" s="51" t="s">
        <v>85</v>
      </c>
      <c r="D1238" s="54">
        <v>-167693</v>
      </c>
      <c r="E1238" s="54">
        <f>D1238-2949.99</f>
        <v>-170642.99</v>
      </c>
      <c r="F1238" s="54">
        <v>-111895.87</v>
      </c>
      <c r="G1238" s="54">
        <f t="shared" si="614"/>
        <v>58747.119999999995</v>
      </c>
      <c r="H1238" s="9"/>
      <c r="I1238" s="2"/>
    </row>
    <row r="1239" spans="1:9" s="14" customFormat="1" x14ac:dyDescent="0.25">
      <c r="A1239" s="51" t="s">
        <v>56</v>
      </c>
      <c r="B1239" s="51"/>
      <c r="C1239" s="51"/>
      <c r="D1239" s="54">
        <f>SUM(D1240:D1242)</f>
        <v>-8130330</v>
      </c>
      <c r="E1239" s="54">
        <f>SUM(E1240:E1242)</f>
        <v>-8756162.1800000016</v>
      </c>
      <c r="F1239" s="54">
        <f>SUM(F1240:F1242)</f>
        <v>-8508516.7300000004</v>
      </c>
      <c r="G1239" s="54">
        <f>SUM(G1240:G1242)</f>
        <v>247645.45000000019</v>
      </c>
      <c r="H1239" s="9"/>
      <c r="I1239" s="2"/>
    </row>
    <row r="1240" spans="1:9" x14ac:dyDescent="0.25">
      <c r="A1240" s="28"/>
      <c r="B1240" s="28" t="s">
        <v>80</v>
      </c>
      <c r="C1240" s="28"/>
      <c r="D1240" s="52">
        <v>-7783906</v>
      </c>
      <c r="E1240" s="52">
        <f t="shared" ref="E1240" si="615">D1240</f>
        <v>-7783906</v>
      </c>
      <c r="F1240" s="52">
        <v>-7536260.5499999998</v>
      </c>
      <c r="G1240" s="52">
        <f t="shared" ref="G1240:G1242" si="616">F1240-E1240</f>
        <v>247645.45000000019</v>
      </c>
      <c r="I1240" s="2"/>
    </row>
    <row r="1241" spans="1:9" x14ac:dyDescent="0.25">
      <c r="A1241" s="28"/>
      <c r="B1241" s="28" t="s">
        <v>81</v>
      </c>
      <c r="C1241" s="28"/>
      <c r="D1241" s="52">
        <v>-23173</v>
      </c>
      <c r="E1241" s="52">
        <v>-885149.8</v>
      </c>
      <c r="F1241" s="52">
        <v>-885149.8</v>
      </c>
      <c r="G1241" s="52">
        <f t="shared" si="616"/>
        <v>0</v>
      </c>
      <c r="I1241" s="2"/>
    </row>
    <row r="1242" spans="1:9" x14ac:dyDescent="0.25">
      <c r="A1242" s="28"/>
      <c r="B1242" s="28" t="s">
        <v>82</v>
      </c>
      <c r="C1242" s="28"/>
      <c r="D1242" s="52">
        <f>-281853-41398</f>
        <v>-323251</v>
      </c>
      <c r="E1242" s="52">
        <v>-87106.38</v>
      </c>
      <c r="F1242" s="52">
        <v>-87106.38</v>
      </c>
      <c r="G1242" s="52">
        <f t="shared" si="616"/>
        <v>0</v>
      </c>
      <c r="I1242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20"/>
  <sheetViews>
    <sheetView workbookViewId="0">
      <selection activeCell="A5" sqref="A5:J20"/>
    </sheetView>
  </sheetViews>
  <sheetFormatPr defaultRowHeight="15" x14ac:dyDescent="0.25"/>
  <cols>
    <col min="1" max="1" width="15.85546875" customWidth="1"/>
    <col min="2" max="2" width="39.140625" customWidth="1"/>
    <col min="3" max="3" width="16.7109375" style="15" bestFit="1" customWidth="1"/>
    <col min="4" max="4" width="16.140625" style="15" bestFit="1" customWidth="1"/>
    <col min="5" max="5" width="16.7109375" style="15" bestFit="1" customWidth="1"/>
    <col min="6" max="6" width="9.140625" style="9"/>
    <col min="7" max="7" width="16" style="9" bestFit="1" customWidth="1"/>
    <col min="8" max="8" width="16.7109375" style="9" bestFit="1" customWidth="1"/>
    <col min="9" max="9" width="15.85546875" style="9" bestFit="1" customWidth="1"/>
    <col min="11" max="11" width="14.28515625" bestFit="1" customWidth="1"/>
    <col min="13" max="13" width="14.28515625" bestFit="1" customWidth="1"/>
    <col min="14" max="14" width="10.7109375" bestFit="1" customWidth="1"/>
    <col min="15" max="15" width="13.28515625" customWidth="1"/>
  </cols>
  <sheetData>
    <row r="1" spans="1:15" x14ac:dyDescent="0.25">
      <c r="A1" s="3" t="s">
        <v>151</v>
      </c>
      <c r="B1" s="4"/>
      <c r="C1" s="17"/>
      <c r="D1" s="17"/>
      <c r="E1" s="17"/>
      <c r="F1" s="5"/>
      <c r="G1" s="6"/>
      <c r="H1" s="7"/>
      <c r="I1" s="8"/>
      <c r="J1" s="9"/>
    </row>
    <row r="2" spans="1:15" x14ac:dyDescent="0.25">
      <c r="A2" s="3" t="s">
        <v>152</v>
      </c>
      <c r="B2" s="4"/>
      <c r="C2" s="17"/>
      <c r="D2" s="17"/>
      <c r="E2" s="17"/>
      <c r="F2" s="5"/>
      <c r="G2" s="17"/>
      <c r="H2" s="17"/>
      <c r="I2" s="7"/>
      <c r="J2" s="9"/>
    </row>
    <row r="3" spans="1:15" x14ac:dyDescent="0.25">
      <c r="A3" s="3"/>
      <c r="B3" s="4"/>
      <c r="C3" s="17"/>
      <c r="D3" s="17"/>
      <c r="E3" s="17"/>
      <c r="F3" s="5"/>
      <c r="G3" s="17"/>
      <c r="H3" s="17"/>
      <c r="I3" s="7"/>
      <c r="J3" s="9"/>
    </row>
    <row r="4" spans="1:15" hidden="1" x14ac:dyDescent="0.25">
      <c r="A4" s="3"/>
      <c r="B4" s="4"/>
      <c r="C4" s="18">
        <f>SUBTOTAL(9,C6:C21)</f>
        <v>-1937403570.6499996</v>
      </c>
      <c r="D4" s="18">
        <f>SUBTOTAL(9,D6:D21)</f>
        <v>-1937403570.6499991</v>
      </c>
      <c r="E4" s="18">
        <f>SUBTOTAL(9,E6:E21)</f>
        <v>-5.7183751778211445E-7</v>
      </c>
      <c r="F4" s="5"/>
      <c r="G4" s="18">
        <f>SUBTOTAL(9,G6:G21)</f>
        <v>-1973091516.4500003</v>
      </c>
      <c r="H4" s="18">
        <f>SUBTOTAL(9,H6:H21)</f>
        <v>-1973091517.2400012</v>
      </c>
      <c r="I4" s="18">
        <f>SUBTOTAL(9,I6:I21)</f>
        <v>0.79000091549460194</v>
      </c>
    </row>
    <row r="5" spans="1:15" ht="25.5" x14ac:dyDescent="0.25">
      <c r="A5" s="92" t="s">
        <v>153</v>
      </c>
      <c r="B5" s="92" t="s">
        <v>154</v>
      </c>
      <c r="C5" s="94" t="s">
        <v>187</v>
      </c>
      <c r="D5" s="94" t="s">
        <v>188</v>
      </c>
      <c r="E5" s="94" t="s">
        <v>189</v>
      </c>
      <c r="F5" s="95" t="s">
        <v>158</v>
      </c>
      <c r="G5" s="96" t="s">
        <v>155</v>
      </c>
      <c r="H5" s="96" t="s">
        <v>156</v>
      </c>
      <c r="I5" s="96" t="s">
        <v>157</v>
      </c>
      <c r="J5" s="92" t="s">
        <v>158</v>
      </c>
    </row>
    <row r="6" spans="1:15" x14ac:dyDescent="0.25">
      <c r="A6" s="28" t="s">
        <v>167</v>
      </c>
      <c r="B6" s="97" t="s">
        <v>62</v>
      </c>
      <c r="C6" s="98">
        <f>5401649404.38+3818679.2</f>
        <v>5405468083.5799999</v>
      </c>
      <c r="D6" s="99">
        <f>aruanne!E105</f>
        <v>5405468083.5799999</v>
      </c>
      <c r="E6" s="99">
        <f t="shared" ref="E6:E20" si="0">C6-D6</f>
        <v>0</v>
      </c>
      <c r="F6" s="100"/>
      <c r="G6" s="98">
        <v>5069212834.3299999</v>
      </c>
      <c r="H6" s="99">
        <f>aruanne!F105</f>
        <v>5069212834.3299999</v>
      </c>
      <c r="I6" s="99">
        <f t="shared" ref="I6:I20" si="1">G6-H6</f>
        <v>0</v>
      </c>
      <c r="J6" s="28"/>
      <c r="M6" s="15"/>
      <c r="N6" s="9"/>
      <c r="O6" s="9"/>
    </row>
    <row r="7" spans="1:15" x14ac:dyDescent="0.25">
      <c r="A7" s="28" t="s">
        <v>167</v>
      </c>
      <c r="B7" s="28" t="s">
        <v>9</v>
      </c>
      <c r="C7" s="98">
        <v>856651.67</v>
      </c>
      <c r="D7" s="99">
        <f>aruanne!E6</f>
        <v>856651.67</v>
      </c>
      <c r="E7" s="99">
        <f t="shared" si="0"/>
        <v>0</v>
      </c>
      <c r="F7" s="100"/>
      <c r="G7" s="98">
        <v>322835.57</v>
      </c>
      <c r="H7" s="99">
        <f>aruanne!F6</f>
        <v>322835.57</v>
      </c>
      <c r="I7" s="99">
        <f t="shared" si="1"/>
        <v>0</v>
      </c>
      <c r="J7" s="100"/>
      <c r="O7" s="9"/>
    </row>
    <row r="8" spans="1:15" x14ac:dyDescent="0.25">
      <c r="A8" s="28" t="s">
        <v>167</v>
      </c>
      <c r="B8" s="28" t="s">
        <v>10</v>
      </c>
      <c r="C8" s="98">
        <v>10185813.689999999</v>
      </c>
      <c r="D8" s="99">
        <f>aruanne!E7+aruanne!E112</f>
        <v>10196893.539999999</v>
      </c>
      <c r="E8" s="99">
        <f t="shared" si="0"/>
        <v>-11079.849999999627</v>
      </c>
      <c r="F8" s="100"/>
      <c r="G8" s="98">
        <v>6900474.3899999997</v>
      </c>
      <c r="H8" s="99">
        <f>aruanne!F7+aruanne!F112</f>
        <v>6900474.3899999997</v>
      </c>
      <c r="I8" s="99">
        <f t="shared" si="1"/>
        <v>0</v>
      </c>
      <c r="J8" s="100"/>
      <c r="O8" s="9"/>
    </row>
    <row r="9" spans="1:15" x14ac:dyDescent="0.25">
      <c r="A9" s="28" t="s">
        <v>167</v>
      </c>
      <c r="B9" s="28" t="s">
        <v>11</v>
      </c>
      <c r="C9" s="98">
        <v>70753861.109999999</v>
      </c>
      <c r="D9" s="99">
        <f>aruanne!E8+aruanne!E108+aruanne!E110</f>
        <v>70753861.109999999</v>
      </c>
      <c r="E9" s="99">
        <f t="shared" si="0"/>
        <v>0</v>
      </c>
      <c r="F9" s="100"/>
      <c r="G9" s="98">
        <v>58798482.490000002</v>
      </c>
      <c r="H9" s="99">
        <f>aruanne!F8+aruanne!F108+aruanne!F110</f>
        <v>58798482.490000002</v>
      </c>
      <c r="I9" s="99">
        <f t="shared" si="1"/>
        <v>0</v>
      </c>
      <c r="J9" s="100"/>
      <c r="O9" s="9"/>
    </row>
    <row r="10" spans="1:15" x14ac:dyDescent="0.25">
      <c r="A10" s="28" t="s">
        <v>167</v>
      </c>
      <c r="B10" s="28" t="s">
        <v>159</v>
      </c>
      <c r="C10" s="98">
        <v>8800</v>
      </c>
      <c r="D10" s="99">
        <f>aruanne!E9</f>
        <v>8800</v>
      </c>
      <c r="E10" s="99">
        <f t="shared" si="0"/>
        <v>0</v>
      </c>
      <c r="F10" s="100"/>
      <c r="G10" s="98"/>
      <c r="H10" s="99">
        <f>aruanne!F9</f>
        <v>0</v>
      </c>
      <c r="I10" s="99">
        <f t="shared" si="1"/>
        <v>0</v>
      </c>
      <c r="J10" s="100"/>
      <c r="O10" s="9"/>
    </row>
    <row r="11" spans="1:15" x14ac:dyDescent="0.25">
      <c r="A11" s="28" t="s">
        <v>167</v>
      </c>
      <c r="B11" s="28" t="s">
        <v>13</v>
      </c>
      <c r="C11" s="98">
        <v>16915.89</v>
      </c>
      <c r="D11" s="99">
        <f>aruanne!E10</f>
        <v>16915.89</v>
      </c>
      <c r="E11" s="99">
        <f t="shared" si="0"/>
        <v>0</v>
      </c>
      <c r="F11" s="100"/>
      <c r="G11" s="98">
        <v>7947.2</v>
      </c>
      <c r="H11" s="99">
        <f>aruanne!F10</f>
        <v>7947.2</v>
      </c>
      <c r="I11" s="99">
        <f t="shared" si="1"/>
        <v>0</v>
      </c>
      <c r="J11" s="100"/>
      <c r="O11" s="9"/>
    </row>
    <row r="12" spans="1:15" x14ac:dyDescent="0.25">
      <c r="A12" s="28" t="s">
        <v>167</v>
      </c>
      <c r="B12" s="28" t="s">
        <v>14</v>
      </c>
      <c r="C12" s="98">
        <v>999595.89</v>
      </c>
      <c r="D12" s="99">
        <f>aruanne!E11</f>
        <v>1007171.52</v>
      </c>
      <c r="E12" s="99">
        <f t="shared" si="0"/>
        <v>-7575.6300000000047</v>
      </c>
      <c r="F12" s="100"/>
      <c r="G12" s="98">
        <f>695468.55+460.38</f>
        <v>695928.93</v>
      </c>
      <c r="H12" s="99">
        <f>aruanne!F11</f>
        <v>705365.84000000008</v>
      </c>
      <c r="I12" s="99">
        <f t="shared" si="1"/>
        <v>-9436.9100000000326</v>
      </c>
      <c r="J12" s="100"/>
      <c r="O12" s="9"/>
    </row>
    <row r="13" spans="1:15" x14ac:dyDescent="0.25">
      <c r="A13" s="28" t="s">
        <v>167</v>
      </c>
      <c r="B13" s="28" t="s">
        <v>165</v>
      </c>
      <c r="C13" s="98">
        <v>11079.85</v>
      </c>
      <c r="D13" s="99"/>
      <c r="E13" s="99">
        <f t="shared" si="0"/>
        <v>11079.85</v>
      </c>
      <c r="F13" s="100"/>
      <c r="G13" s="98">
        <v>0</v>
      </c>
      <c r="H13" s="99"/>
      <c r="I13" s="99">
        <f t="shared" si="1"/>
        <v>0</v>
      </c>
      <c r="J13" s="100"/>
      <c r="O13" s="9"/>
    </row>
    <row r="14" spans="1:15" x14ac:dyDescent="0.25">
      <c r="A14" s="28" t="s">
        <v>167</v>
      </c>
      <c r="B14" s="28" t="s">
        <v>160</v>
      </c>
      <c r="C14" s="98">
        <v>7575.63</v>
      </c>
      <c r="D14" s="99">
        <v>0</v>
      </c>
      <c r="E14" s="99">
        <f t="shared" si="0"/>
        <v>7575.63</v>
      </c>
      <c r="F14" s="100"/>
      <c r="G14" s="98">
        <v>9436.91</v>
      </c>
      <c r="H14" s="99">
        <v>0</v>
      </c>
      <c r="I14" s="99">
        <f t="shared" si="1"/>
        <v>9436.91</v>
      </c>
      <c r="J14" s="28"/>
      <c r="O14" s="9"/>
    </row>
    <row r="15" spans="1:15" x14ac:dyDescent="0.25">
      <c r="A15" s="28" t="s">
        <v>167</v>
      </c>
      <c r="B15" s="28" t="s">
        <v>161</v>
      </c>
      <c r="C15" s="98">
        <v>-7287757234.3000002</v>
      </c>
      <c r="D15" s="99">
        <v>-7287768314.1499996</v>
      </c>
      <c r="E15" s="99">
        <f t="shared" si="0"/>
        <v>11079.849999427795</v>
      </c>
      <c r="F15" s="100"/>
      <c r="G15" s="98">
        <f>-6997658558.78-G18-G20</f>
        <v>-6987564827.6599998</v>
      </c>
      <c r="H15" s="99">
        <f>aruanne!F12+aruanne!F106+aruanne!F109+aruanne!F111+aruanne!F113+aruanne!F114+aruanne!F115-aruanne!F96</f>
        <v>-6987564828.4500008</v>
      </c>
      <c r="I15" s="99">
        <f t="shared" si="1"/>
        <v>0.79000091552734375</v>
      </c>
      <c r="J15" s="28"/>
      <c r="O15" s="9"/>
    </row>
    <row r="16" spans="1:15" x14ac:dyDescent="0.25">
      <c r="A16" s="28" t="s">
        <v>167</v>
      </c>
      <c r="B16" s="28" t="s">
        <v>166</v>
      </c>
      <c r="C16" s="98">
        <v>-11079.85</v>
      </c>
      <c r="D16" s="99"/>
      <c r="E16" s="99">
        <f t="shared" si="0"/>
        <v>-11079.85</v>
      </c>
      <c r="F16" s="100"/>
      <c r="G16" s="98">
        <v>0</v>
      </c>
      <c r="H16" s="99"/>
      <c r="I16" s="99">
        <f t="shared" si="1"/>
        <v>0</v>
      </c>
      <c r="J16" s="28"/>
      <c r="O16" s="9"/>
    </row>
    <row r="17" spans="1:15" x14ac:dyDescent="0.25">
      <c r="A17" s="28" t="s">
        <v>167</v>
      </c>
      <c r="B17" s="28" t="s">
        <v>163</v>
      </c>
      <c r="C17" s="98">
        <v>-109439530.2</v>
      </c>
      <c r="D17" s="99">
        <f>aruanne!E107</f>
        <v>-109439530.2</v>
      </c>
      <c r="E17" s="99">
        <f t="shared" si="0"/>
        <v>0</v>
      </c>
      <c r="F17" s="100"/>
      <c r="G17" s="98">
        <v>-97621136</v>
      </c>
      <c r="H17" s="99">
        <f>aruanne!F107</f>
        <v>-97621136</v>
      </c>
      <c r="I17" s="99">
        <f t="shared" si="1"/>
        <v>0</v>
      </c>
      <c r="J17" s="28"/>
      <c r="O17" s="9"/>
    </row>
    <row r="18" spans="1:15" x14ac:dyDescent="0.25">
      <c r="A18" s="28" t="s">
        <v>167</v>
      </c>
      <c r="B18" s="97" t="s">
        <v>162</v>
      </c>
      <c r="C18" s="98">
        <v>-8508516.7300000004</v>
      </c>
      <c r="D18" s="99">
        <f>aruanne!E96</f>
        <v>-8508516.7300000004</v>
      </c>
      <c r="E18" s="99">
        <f t="shared" si="0"/>
        <v>0</v>
      </c>
      <c r="F18" s="101"/>
      <c r="G18" s="98">
        <v>-7144115.4800000004</v>
      </c>
      <c r="H18" s="99">
        <f>aruanne!F96</f>
        <v>-7144115.4800000004</v>
      </c>
      <c r="I18" s="99">
        <f t="shared" si="1"/>
        <v>0</v>
      </c>
      <c r="J18" s="28"/>
      <c r="O18" s="9"/>
    </row>
    <row r="19" spans="1:15" x14ac:dyDescent="0.25">
      <c r="A19" s="28" t="s">
        <v>167</v>
      </c>
      <c r="B19" s="97" t="s">
        <v>74</v>
      </c>
      <c r="C19" s="98">
        <f>-343274.39-15908560.4</f>
        <v>-16251834.790000001</v>
      </c>
      <c r="D19" s="99">
        <f>aruanne!E97-D20</f>
        <v>-16251834.789999999</v>
      </c>
      <c r="E19" s="99">
        <f t="shared" si="0"/>
        <v>0</v>
      </c>
      <c r="F19" s="101"/>
      <c r="G19" s="98">
        <v>-13759761.49</v>
      </c>
      <c r="H19" s="99">
        <f>aruanne!F97-aruanne!F99</f>
        <v>-13759761.49</v>
      </c>
      <c r="I19" s="99">
        <f t="shared" si="1"/>
        <v>0</v>
      </c>
      <c r="J19" s="28"/>
      <c r="O19" s="9"/>
    </row>
    <row r="20" spans="1:15" x14ac:dyDescent="0.25">
      <c r="A20" s="28" t="s">
        <v>167</v>
      </c>
      <c r="B20" s="97" t="s">
        <v>164</v>
      </c>
      <c r="C20" s="98">
        <v>-3743752.09</v>
      </c>
      <c r="D20" s="99">
        <f>aruanne!E99</f>
        <v>-3743752.09</v>
      </c>
      <c r="E20" s="99">
        <f t="shared" si="0"/>
        <v>0</v>
      </c>
      <c r="F20" s="101"/>
      <c r="G20" s="98">
        <v>-2949615.64</v>
      </c>
      <c r="H20" s="99">
        <f>aruanne!F99</f>
        <v>-2949615.64</v>
      </c>
      <c r="I20" s="99">
        <f t="shared" si="1"/>
        <v>0</v>
      </c>
      <c r="J20" s="28"/>
      <c r="O20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D23"/>
  <sheetViews>
    <sheetView topLeftCell="A2" workbookViewId="0">
      <pane xSplit="1" ySplit="4" topLeftCell="B6" activePane="bottomRight" state="frozen"/>
      <selection pane="topRight" activeCell="B2" sqref="B2"/>
      <selection pane="bottomLeft" activeCell="A7" sqref="A7"/>
      <selection pane="bottomRight" activeCell="A11" sqref="A11"/>
    </sheetView>
  </sheetViews>
  <sheetFormatPr defaultRowHeight="15" x14ac:dyDescent="0.25"/>
  <cols>
    <col min="1" max="1" width="58.28515625" customWidth="1"/>
    <col min="2" max="2" width="11.5703125" customWidth="1"/>
    <col min="3" max="3" width="14" customWidth="1"/>
    <col min="4" max="4" width="10.7109375" bestFit="1" customWidth="1"/>
  </cols>
  <sheetData>
    <row r="1" spans="1:4" x14ac:dyDescent="0.25">
      <c r="A1" s="3" t="s">
        <v>151</v>
      </c>
      <c r="B1" s="2"/>
    </row>
    <row r="2" spans="1:4" x14ac:dyDescent="0.25">
      <c r="A2" s="3" t="s">
        <v>168</v>
      </c>
      <c r="C2" s="2"/>
      <c r="D2" s="2"/>
    </row>
    <row r="3" spans="1:4" x14ac:dyDescent="0.25">
      <c r="A3" s="11" t="s">
        <v>1</v>
      </c>
      <c r="C3" s="10"/>
      <c r="D3" s="10"/>
    </row>
    <row r="4" spans="1:4" x14ac:dyDescent="0.25">
      <c r="A4" s="3"/>
      <c r="B4" s="12"/>
      <c r="C4" s="12"/>
      <c r="D4" s="12"/>
    </row>
    <row r="5" spans="1:4" ht="52.5" customHeight="1" x14ac:dyDescent="0.25">
      <c r="A5" s="92"/>
      <c r="B5" s="93" t="s">
        <v>169</v>
      </c>
      <c r="C5" s="93" t="s">
        <v>170</v>
      </c>
      <c r="D5" s="93" t="s">
        <v>171</v>
      </c>
    </row>
    <row r="6" spans="1:4" x14ac:dyDescent="0.25">
      <c r="A6" s="66" t="s">
        <v>172</v>
      </c>
      <c r="B6" s="67">
        <f>aruanne!C5</f>
        <v>78295708</v>
      </c>
      <c r="C6" s="68">
        <f>aruanne!C12+aruanne!C97</f>
        <v>-7481457767</v>
      </c>
      <c r="D6" s="68">
        <f>aruanne!C100</f>
        <v>0</v>
      </c>
    </row>
    <row r="7" spans="1:4" x14ac:dyDescent="0.25">
      <c r="A7" s="66" t="s">
        <v>173</v>
      </c>
      <c r="B7" s="67"/>
      <c r="C7" s="68">
        <v>-48495799</v>
      </c>
      <c r="D7" s="68"/>
    </row>
    <row r="8" spans="1:4" x14ac:dyDescent="0.25">
      <c r="A8" s="66" t="s">
        <v>174</v>
      </c>
      <c r="B8" s="67"/>
      <c r="C8" s="68">
        <v>-1922855</v>
      </c>
      <c r="D8" s="68">
        <v>-15000</v>
      </c>
    </row>
    <row r="9" spans="1:4" x14ac:dyDescent="0.25">
      <c r="A9" s="66" t="s">
        <v>175</v>
      </c>
      <c r="B9" s="67"/>
      <c r="C9" s="68">
        <v>-6799886</v>
      </c>
      <c r="D9" s="68"/>
    </row>
    <row r="10" spans="1:4" x14ac:dyDescent="0.25">
      <c r="A10" s="69" t="s">
        <v>176</v>
      </c>
      <c r="B10" s="67"/>
      <c r="C10" s="68">
        <v>-4103247.55</v>
      </c>
      <c r="D10" s="68"/>
    </row>
    <row r="11" spans="1:4" x14ac:dyDescent="0.25">
      <c r="A11" s="70" t="s">
        <v>177</v>
      </c>
      <c r="B11" s="67"/>
      <c r="C11" s="68">
        <f>3204428+64922495</f>
        <v>68126923</v>
      </c>
      <c r="D11" s="68"/>
    </row>
    <row r="12" spans="1:4" x14ac:dyDescent="0.25">
      <c r="A12" s="70" t="s">
        <v>178</v>
      </c>
      <c r="B12" s="67"/>
      <c r="C12" s="68">
        <v>-87755296.75</v>
      </c>
      <c r="D12" s="68"/>
    </row>
    <row r="13" spans="1:4" x14ac:dyDescent="0.25">
      <c r="A13" s="70" t="s">
        <v>179</v>
      </c>
      <c r="B13" s="67"/>
      <c r="C13" s="68">
        <f>74941886-64922495+4496440</f>
        <v>14515831</v>
      </c>
      <c r="D13" s="68"/>
    </row>
    <row r="14" spans="1:4" x14ac:dyDescent="0.25">
      <c r="A14" s="70" t="s">
        <v>180</v>
      </c>
      <c r="B14" s="67"/>
      <c r="C14" s="68">
        <v>-7463763.5499999998</v>
      </c>
      <c r="D14" s="68"/>
    </row>
    <row r="15" spans="1:4" x14ac:dyDescent="0.25">
      <c r="A15" s="70" t="s">
        <v>181</v>
      </c>
      <c r="B15" s="67"/>
      <c r="C15" s="68">
        <v>805527</v>
      </c>
      <c r="D15" s="68"/>
    </row>
    <row r="16" spans="1:4" x14ac:dyDescent="0.25">
      <c r="A16" s="70" t="s">
        <v>182</v>
      </c>
      <c r="B16" s="67"/>
      <c r="C16" s="68">
        <v>-805527</v>
      </c>
      <c r="D16" s="68"/>
    </row>
    <row r="17" spans="1:4" x14ac:dyDescent="0.25">
      <c r="A17" s="70" t="s">
        <v>183</v>
      </c>
      <c r="B17" s="67"/>
      <c r="C17" s="68">
        <v>9117675</v>
      </c>
      <c r="D17" s="68"/>
    </row>
    <row r="18" spans="1:4" x14ac:dyDescent="0.25">
      <c r="A18" s="70" t="s">
        <v>184</v>
      </c>
      <c r="B18" s="67"/>
      <c r="C18" s="68">
        <v>-10212493.630000001</v>
      </c>
      <c r="D18" s="68"/>
    </row>
    <row r="19" spans="1:4" x14ac:dyDescent="0.25">
      <c r="A19" s="71" t="s">
        <v>185</v>
      </c>
      <c r="B19" s="72">
        <f t="shared" ref="B19:D19" si="0">SUM(B6:B18)</f>
        <v>78295708</v>
      </c>
      <c r="C19" s="72">
        <f t="shared" si="0"/>
        <v>-7556450679.4800005</v>
      </c>
      <c r="D19" s="72">
        <f t="shared" si="0"/>
        <v>-15000</v>
      </c>
    </row>
    <row r="20" spans="1:4" hidden="1" x14ac:dyDescent="0.25">
      <c r="A20" s="13"/>
      <c r="B20" s="13">
        <f>aruanne!D5</f>
        <v>78295708</v>
      </c>
      <c r="C20" s="13">
        <v>-7556450679</v>
      </c>
      <c r="D20" s="13">
        <f>aruanne!D100</f>
        <v>-15000</v>
      </c>
    </row>
    <row r="21" spans="1:4" hidden="1" x14ac:dyDescent="0.25">
      <c r="A21" s="13"/>
      <c r="B21" s="13">
        <f t="shared" ref="B21:D21" si="1">B19-B20</f>
        <v>0</v>
      </c>
      <c r="C21" s="13">
        <f t="shared" si="1"/>
        <v>-0.48000049591064453</v>
      </c>
      <c r="D21" s="13">
        <f t="shared" si="1"/>
        <v>0</v>
      </c>
    </row>
    <row r="23" spans="1:4" x14ac:dyDescent="0.25">
      <c r="C23" s="2"/>
      <c r="D2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Juta Maar</dc:creator>
  <cp:keywords/>
  <dc:description/>
  <cp:lastModifiedBy>Sirli Jurjev - SOM</cp:lastModifiedBy>
  <cp:revision/>
  <cp:lastPrinted>2026-06-04T10:49:20Z</cp:lastPrinted>
  <dcterms:created xsi:type="dcterms:W3CDTF">2022-02-14T16:37:54Z</dcterms:created>
  <dcterms:modified xsi:type="dcterms:W3CDTF">2026-07-08T08:46:41Z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